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Instructions" sheetId="2" r:id="rId5"/>
    <sheet state="visible" name="HECVAT - Full" sheetId="3" r:id="rId6"/>
    <sheet state="visible" name="Standards Crosswalk" sheetId="4" r:id="rId7"/>
    <sheet state="visible" name="Analyst Report" sheetId="5" r:id="rId8"/>
    <sheet state="visible" name="Analyst Reference" sheetId="6" r:id="rId9"/>
    <sheet state="visible" name="Summary Report" sheetId="7" r:id="rId10"/>
    <sheet state="visible" name="Crosswalk Detail" sheetId="8" r:id="rId11"/>
    <sheet state="visible" name="Questions" sheetId="9" r:id="rId12"/>
    <sheet state="visible" name="High Risk Non-Compliant" sheetId="10" r:id="rId13"/>
    <sheet state="visible" name="Acknowledgments" sheetId="11" r:id="rId14"/>
    <sheet state="visible" name="ChangeLog" sheetId="12" r:id="rId15"/>
    <sheet state="visible" name="Values" sheetId="13" r:id="rId16"/>
  </sheets>
  <definedNames/>
  <calcPr/>
  <extLst>
    <ext uri="GoogleSheetsCustomDataVersion1">
      <go:sheetsCustomData xmlns:go="http://customooxmlschemas.google.com/" r:id="rId17" roundtripDataSignature="AMtx7miLZephJV/Qk9/WyGRDdzUrYZt4JQ=="/>
    </ext>
  </extLst>
</workbook>
</file>

<file path=xl/comments1.xml><?xml version="1.0" encoding="utf-8"?>
<comments xmlns:r="http://schemas.openxmlformats.org/officeDocument/2006/relationships" xmlns="http://schemas.openxmlformats.org/spreadsheetml/2006/main">
  <authors>
    <author/>
  </authors>
  <commentList>
    <comment authorId="0" ref="B26">
      <text>
        <t xml:space="preserve">======
ID#AAAAQr-OgBc
Charles Escue    (2021-10-10 21:43:08)
The Institution views hosted solutions such as AWS, Rackspace, Azure, and other PaaS/SaaS offerings as third parties. If services such as these are used in your environment, respond "Yes".</t>
      </text>
    </comment>
    <comment authorId="0" ref="B32">
      <text>
        <t xml:space="preserve">======
ID#AAAAQr-OgBY
Imported Author    (2021-10-10 21:43:08)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3">
      <text>
        <t xml:space="preserve">======
ID#AAAAQr-OgBU
Imported Author    (2021-10-10 21:43:08)
CSA STAR Self Assessment is free and open to all cloud providers and allows them to submit self assessment reports that document compliance to CSA-published best practices.
Website: https://cloudsecurityalliance.org/star/self-assessment/</t>
      </text>
    </comment>
    <comment authorId="0" ref="B171">
      <text>
        <t xml:space="preserve">======
ID#AAAAQr-OgBQ
Charles Escue    (2021-10-10 21:43:08)
https://uptimeinstitute.com/tiers</t>
      </text>
    </comment>
    <comment authorId="0" ref="B36">
      <text>
        <t xml:space="preserve">======
ID#AAAAQr-OgBM
Imported Author    (2021-10-10 21:43:08)
The Federal Information Security Management Act (FISMA) is United States legislation that defines a comprehensive framework to protect government information, operations and assets against natural or man-made threats.
Website: http://www.dhs.gov/FISMA
----
slight wording change
	-Josh Callahan</t>
      </text>
    </comment>
    <comment authorId="0" ref="B34">
      <text>
        <t xml:space="preserve">======
ID#AAAAQr-OgBA
Imported Author    (2021-10-10 21:43:08)
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text>
    </comment>
  </commentList>
  <extLst>
    <ext uri="GoogleSheetsCustomDataVersion1">
      <go:sheetsCustomData xmlns:go="http://customooxmlschemas.google.com/" r:id="rId1" roundtripDataSignature="AMtx7miyHjmGuobftAOsKOtLjTmebGRyXA=="/>
    </ext>
  </extLst>
</comments>
</file>

<file path=xl/comments2.xml><?xml version="1.0" encoding="utf-8"?>
<comments xmlns:r="http://schemas.openxmlformats.org/officeDocument/2006/relationships" xmlns="http://schemas.openxmlformats.org/spreadsheetml/2006/main">
  <authors>
    <author/>
  </authors>
  <commentList>
    <comment authorId="0" ref="B34">
      <text>
        <t xml:space="preserve">======
ID#AAAAQr-OgBo
Imported Author    (2021-10-10 21:43:08)
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text>
    </comment>
    <comment authorId="0" ref="B32">
      <text>
        <t xml:space="preserve">======
ID#AAAAQr-OgBk
Imported Author    (2021-10-10 21:43:08)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6">
      <text>
        <t xml:space="preserve">======
ID#AAAAQr-OgBg
Imported Author    (2021-10-10 21:43:08)
The Federal Information Security Management Act (FISMA) is United States legislation that defines a comprehensive framework to protect government information, operations and assets against natural or man-made threats.
Website: http://www.dhs.gov/FISMA
----
slight wording change
	-Josh Callahan</t>
      </text>
    </comment>
    <comment authorId="0" ref="B33">
      <text>
        <t xml:space="preserve">======
ID#AAAAQr-OgBE
Imported Author    (2021-10-10 21:43:08)
CSA STAR Self Assessment is free and open to all cloud providers and allows them to submit self assessment reports that document compliance to CSA-published best practices.
Website: https://cloudsecurityalliance.org/star/self-assessment/</t>
      </text>
    </comment>
    <comment authorId="0" ref="B171">
      <text>
        <t xml:space="preserve">======
ID#AAAAQr-OgBI
Charles Escue    (2021-10-10 21:43:08)
https://uptimeinstitute.com/tiers</t>
      </text>
    </comment>
    <comment authorId="0" ref="B26">
      <text>
        <t xml:space="preserve">======
ID#AAAAQr-OgA8
Charles Escue    (2021-10-10 21:43:08)
The Institution views hosted solutions such as AWS, Rackspace, Azure, and other PaaS/SaaS offerings as third parties. If services such as these are used in your environment, respond "Yes".</t>
      </text>
    </comment>
  </commentList>
  <extLst>
    <ext uri="GoogleSheetsCustomDataVersion1">
      <go:sheetsCustomData xmlns:go="http://customooxmlschemas.google.com/" r:id="rId1" roundtripDataSignature="AMtx7mh7fyiihVTPtNRCm0g1EvNMEvofoA=="/>
    </ext>
  </extLst>
</comments>
</file>

<file path=xl/sharedStrings.xml><?xml version="1.0" encoding="utf-8"?>
<sst xmlns="http://schemas.openxmlformats.org/spreadsheetml/2006/main" count="6274" uniqueCount="3227">
  <si>
    <t>Proceed to the next tab, Instructions.</t>
  </si>
  <si>
    <t>Higher Education Community Vendor Assessment Tool - Full - Instructions</t>
  </si>
  <si>
    <t>Target Audience</t>
  </si>
  <si>
    <t>These instructions are for vendors interested in providing the institution with a software and/or a service. 
This worksheet should not be completed by an institution entity. The purpose of this worksheet is for the vendor to submit robust security safeguard information in regards to the product (software/service) being assessed in the institution's assessment process.</t>
  </si>
  <si>
    <t>Document Layout</t>
  </si>
  <si>
    <r>
      <rPr>
        <rFont val="Verdana"/>
        <color rgb="FF000000"/>
        <sz val="11.0"/>
      </rPr>
      <t xml:space="preserve">There are five main sections of the Higher Education Community Vendor Assessment Tool - Full,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rFont val="Verdana"/>
        <b/>
        <color rgb="FFC00000"/>
        <sz val="11.0"/>
      </rPr>
      <t>Do not overwrite selection values (data validation) in column C of the HECVAT - Full tab</t>
    </r>
    <r>
      <rPr>
        <rFont val="Verdana"/>
        <color rgb="FF000000"/>
        <sz val="11.0"/>
      </rPr>
      <t>.</t>
    </r>
  </si>
  <si>
    <t>General Information</t>
  </si>
  <si>
    <t>This section is self-explanatory; product specifics and contact information. GNRL-01 through GNRL-10 should be populated by the Vendor. GNRL-11 and GNRL-12 are for institution use only.</t>
  </si>
  <si>
    <t>Qualifiers</t>
  </si>
  <si>
    <r>
      <rPr>
        <rFont val="Verdana"/>
        <color rgb="FF000000"/>
        <sz val="11.0"/>
      </rPr>
      <t xml:space="preserve">Populate this section </t>
    </r>
    <r>
      <rPr>
        <rFont val="Verdana"/>
        <b/>
        <color rgb="FF000000"/>
        <sz val="11.0"/>
      </rPr>
      <t>completely</t>
    </r>
    <r>
      <rPr>
        <rFont val="Verdana"/>
        <color rgb="FF000000"/>
        <sz val="11.0"/>
      </rPr>
      <t xml:space="preserve"> before continuing. Answers in this section can determine which sections will be required for this assessment. By answering "No" to Qualifiers, their matched sections become optional and are highlighted in orange.</t>
    </r>
  </si>
  <si>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</si>
  <si>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</si>
  <si>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</si>
  <si>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</si>
  <si>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</si>
  <si>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</si>
  <si>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</si>
  <si>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</si>
  <si>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</si>
  <si>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</si>
  <si>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</si>
  <si>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</si>
  <si>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Institution</t>
  </si>
  <si>
    <t>Any school, college, or university using the Higher Education Community Vendor Assessment Tool - Full.</t>
  </si>
  <si>
    <t>Institution Data Zone</t>
  </si>
  <si>
    <t>The country/region in which an institution is located, including all laws and regulations in-scope within that country/region.</t>
  </si>
  <si>
    <t>Vendor Data Zone</t>
  </si>
  <si>
    <t>The country/region in which a vendor is headquartered and/or serves its products/services, including all laws and regulations in-scope within that country/region.</t>
  </si>
  <si>
    <t>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you may want to populate a HECVAT in the context for each security zone (strategy). That said, institutions from different data zones may still use vendor responses from other state Data Zones. If your security practices are the same across all regions of operations, indicate "All" in your Vendor Data Zone.</t>
  </si>
  <si>
    <t>Example A: If vendor ABC is headquartered and stores data in Canada, and provides services to only customers in Canada, ABC should state "Canada" in both Data Zone fields.
Example B: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Example C: If your security strategy is broad and doesn't fit this statement model, provide a brief summary in each field and the institution's Security Analyst can assess your response.</t>
  </si>
  <si>
    <t>Data Reporting</t>
  </si>
  <si>
    <t>To update data in the Report tabs, click Refresh All in the Menu tab. Input provided in the HECVAT tab is assessed a preliminary score pending institution's Security Analyst review.</t>
  </si>
  <si>
    <t>Proceed to the next tab, HECVAT - Full.</t>
  </si>
  <si>
    <t>For Institution's Security Analysts</t>
  </si>
  <si>
    <r>
      <rPr>
        <rFont val="Verdana"/>
        <color rgb="FF000000"/>
        <sz val="11.0"/>
      </rPr>
      <t xml:space="preserve">1. Raw vendor answers can be viewed on the </t>
    </r>
    <r>
      <rPr>
        <rFont val="Verdana"/>
        <b/>
        <color rgb="FF000000"/>
        <sz val="11.0"/>
      </rPr>
      <t>HECVAT - Full</t>
    </r>
    <r>
      <rPr>
        <rFont val="Verdana"/>
        <color rgb="FF000000"/>
        <sz val="11.0"/>
      </rPr>
      <t xml:space="preserve"> tab. 
</t>
    </r>
    <r>
      <rPr>
        <rFont val="Verdana"/>
        <color rgb="FF000000"/>
        <sz val="11.0"/>
      </rPr>
      <t xml:space="preserve">2. To begin your assessment, review the Analyst Report tab, ensuring that you select the appropriate security standard used in your institution (cell B7) before you begin. 
</t>
    </r>
    <r>
      <rPr>
        <rFont val="Verdana"/>
        <color rgb="FF000000"/>
        <sz val="11.0"/>
      </rPr>
      <t xml:space="preserve">3. Review the Analyst Reference tab for guidance and question/response interpretation.
</t>
    </r>
    <r>
      <rPr>
        <rFont val="Verdana"/>
        <color rgb="FF000000"/>
        <sz val="11.0"/>
      </rPr>
      <t xml:space="preserve">4. Select compliance states for the outstanding non-compliant or short-answer questions in column G. Once all subjective questions are evaluated and compliance indicated, move to the Summary Report tab. 
</t>
    </r>
    <r>
      <rPr>
        <rFont val="Verdana"/>
        <color rgb="FF000000"/>
        <sz val="11.0"/>
      </rPr>
      <t xml:space="preserve">5. To update the report's data, select Refresh All in the Data menu. Review details in the Summary Report and based on your assessment, follow-up with vendor for clarification(s) or add the Summary Report output to your Institution's reporting documents. </t>
    </r>
  </si>
  <si>
    <t>Higher Education Community Vendor Assessment Tool (HECVAT) - Full</t>
  </si>
  <si>
    <t>Version 2.11</t>
  </si>
  <si>
    <t>HEISC Shared Assessments Working Group</t>
  </si>
  <si>
    <t>DATE-01</t>
  </si>
  <si>
    <t>Date</t>
  </si>
  <si>
    <r>
      <rPr>
        <rFont val="Verdana"/>
        <color rgb="FF000000"/>
        <sz val="12.0"/>
      </rPr>
      <t xml:space="preserve">In order to protect the Institution and its systems, vendors whose products and/or services will access and/or host institutional data must complete the Higher Education Community Vendor Assessment Toolkit (HECVAT).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 Review the </t>
    </r>
    <r>
      <rPr>
        <rFont val="Verdana"/>
        <i/>
        <color rgb="FF000000"/>
        <sz val="12.0"/>
      </rPr>
      <t>Instructions</t>
    </r>
    <r>
      <rPr>
        <rFont val="Verdana"/>
        <color rgb="FF000000"/>
        <sz val="12.0"/>
      </rPr>
      <t xml:space="preserve"> tab for further guidance.</t>
    </r>
  </si>
  <si>
    <t>GNRL-01 through GNRL-08; populated by the Vendor</t>
  </si>
  <si>
    <t>GNRL-01</t>
  </si>
  <si>
    <t>Vendor Name</t>
  </si>
  <si>
    <t>GATHERACT LLC</t>
  </si>
  <si>
    <t>GNRL-02</t>
  </si>
  <si>
    <t>Product Name</t>
  </si>
  <si>
    <t>LTIAAS</t>
  </si>
  <si>
    <t>GNRL-03</t>
  </si>
  <si>
    <t>Product Description</t>
  </si>
  <si>
    <t>A cloud-hosted API service enabling the LTI protocols</t>
  </si>
  <si>
    <t>GNRL-04</t>
  </si>
  <si>
    <t>Web Link to Product Privacy Notice</t>
  </si>
  <si>
    <r>
      <rPr>
        <rFont val="Verdana"/>
        <i/>
        <color rgb="FF0563C1"/>
        <sz val="11.0"/>
        <u/>
      </rPr>
      <t>https://ltiaas.com/privacy-policy/</t>
    </r>
  </si>
  <si>
    <t>GNRL-05</t>
  </si>
  <si>
    <t>Vendor Contact Name</t>
  </si>
  <si>
    <t>Joe Crop</t>
  </si>
  <si>
    <t>GNRL-06</t>
  </si>
  <si>
    <t>Vendor Contact Title</t>
  </si>
  <si>
    <t>CEO</t>
  </si>
  <si>
    <t>GNRL-07</t>
  </si>
  <si>
    <t>Vendor Contact Email</t>
  </si>
  <si>
    <r>
      <rPr>
        <rFont val="Verdana"/>
        <i/>
        <color rgb="FF0563C1"/>
        <sz val="11.0"/>
        <u/>
      </rPr>
      <t>joecrop@ltiaas.com</t>
    </r>
  </si>
  <si>
    <t>GNRL-08</t>
  </si>
  <si>
    <t>Vendor Contact Phone Number</t>
  </si>
  <si>
    <t>(971) 373-5401</t>
  </si>
  <si>
    <t>GNRL-09</t>
  </si>
  <si>
    <t>USA, but customer can select data zone upon request</t>
  </si>
  <si>
    <t>GNRL-10</t>
  </si>
  <si>
    <t>See Instructions tab for guidance</t>
  </si>
  <si>
    <t>GNRL-11 and GNRL-12; populated by the Institution's Security Office</t>
  </si>
  <si>
    <t>GNRL-11</t>
  </si>
  <si>
    <t>Institution's Security Analyst/Engineer</t>
  </si>
  <si>
    <t>Institution's Security Analyst/Engineer Name</t>
  </si>
  <si>
    <t>GNRL-12</t>
  </si>
  <si>
    <t>Assessment Contact</t>
  </si>
  <si>
    <t>ticket#@yourdomain.edu</t>
  </si>
  <si>
    <t>Instructions</t>
  </si>
  <si>
    <r>
      <rPr>
        <rFont val="Verdana"/>
        <b/>
        <color rgb="FF000000"/>
        <sz val="12.0"/>
      </rPr>
      <t xml:space="preserve">Step 1: </t>
    </r>
    <r>
      <rPr>
        <rFont val="Verdana"/>
        <color rgb="FF000000"/>
        <sz val="12.0"/>
      </rPr>
      <t xml:space="preserve">Complete the </t>
    </r>
    <r>
      <rPr>
        <rFont val="Verdana"/>
        <i/>
        <color rgb="FF000000"/>
        <sz val="12.0"/>
      </rPr>
      <t>Qualifiers</t>
    </r>
    <r>
      <rPr>
        <rFont val="Verdana"/>
        <color rgb="FF000000"/>
        <sz val="12.0"/>
      </rPr>
      <t xml:space="preserve"> section first. </t>
    </r>
    <r>
      <rPr>
        <rFont val="Verdana"/>
        <b/>
        <color rgb="FF000000"/>
        <sz val="12.0"/>
      </rPr>
      <t xml:space="preserve">Step 2: </t>
    </r>
    <r>
      <rPr>
        <rFont val="Verdana"/>
        <color rgb="FF000000"/>
        <sz val="12.0"/>
      </rPr>
      <t xml:space="preserve">Complete each section answering each set of questions in order from top to bottom; the built-in formatting logic relies on this order. </t>
    </r>
    <r>
      <rPr>
        <rFont val="Verdana"/>
        <b/>
        <color rgb="FF000000"/>
        <sz val="12.0"/>
      </rPr>
      <t xml:space="preserve">Step 3: </t>
    </r>
    <r>
      <rPr>
        <rFont val="Verdana"/>
        <color rgb="FF000000"/>
        <sz val="12.0"/>
      </rPr>
      <t>Submit the completed Higher Education Community Vendor Assessment Toolkit (HECVAT) to the Institution according to institutional procedures.</t>
    </r>
  </si>
  <si>
    <t>Vendor Answers</t>
  </si>
  <si>
    <t>Additional Information</t>
  </si>
  <si>
    <t>Guidance</t>
  </si>
  <si>
    <r>
      <rPr>
        <rFont val="Verdana"/>
        <color rgb="FF000000"/>
        <sz val="12.0"/>
      </rPr>
      <t xml:space="preserve">The institution conducts Third Party Security Assessments on a variety of third parties. As such, not all assessment questions are relevant to each party. To alleviate complexity, a "qualifier" strategy is implemented and allows for various parties to utilize this common documentation instrument. </t>
    </r>
    <r>
      <rPr>
        <rFont val="Verdana"/>
        <b/>
        <color rgb="FF000000"/>
        <sz val="12.0"/>
      </rPr>
      <t>Responses to the following questions will determine the need to answer additional questions below</t>
    </r>
    <r>
      <rPr>
        <rFont val="Verdana"/>
        <color rgb="FF000000"/>
        <sz val="12.0"/>
      </rPr>
      <t xml:space="preserve">. </t>
    </r>
  </si>
  <si>
    <t>QUAL-01</t>
  </si>
  <si>
    <t>Does your product process protected health information (PHI) or any data covered by the Health Insurance Portability and Accountability Act?</t>
  </si>
  <si>
    <t>No</t>
  </si>
  <si>
    <t>QUAL-02</t>
  </si>
  <si>
    <t>Does the vended product host/support a mobile application? (e.g. app)</t>
  </si>
  <si>
    <t>QUAL-03</t>
  </si>
  <si>
    <t>Will institution data be shared with or hosted by any third parties? (e.g. any entity not wholly-owned by your company is considered a third-party)</t>
  </si>
  <si>
    <t>Yes</t>
  </si>
  <si>
    <t>QUAL-04</t>
  </si>
  <si>
    <t>Do you have a Business Continuity Plan (BCP)?</t>
  </si>
  <si>
    <t>QUAL-05</t>
  </si>
  <si>
    <t>Do you have a Disaster Recovery Plan (DRP)?</t>
  </si>
  <si>
    <t>QUAL-06</t>
  </si>
  <si>
    <t>Will data regulated by PCI DSS reside in the vended product?</t>
  </si>
  <si>
    <t>QUAL-07</t>
  </si>
  <si>
    <t>Is your company a consulting firm providing only consultation to the Institution?</t>
  </si>
  <si>
    <t>DOCU-01</t>
  </si>
  <si>
    <t>Have you undergone a SSAE 18 audit?</t>
  </si>
  <si>
    <t>We are working toward ISO 27001 certification</t>
  </si>
  <si>
    <t>DOCU-02</t>
  </si>
  <si>
    <t>Have you completed the Cloud Security Alliance (CSA) self assessment or CAIQ?</t>
  </si>
  <si>
    <r>
      <rPr>
        <rFont val="Verdana"/>
        <color rgb="FF000000"/>
        <sz val="11.0"/>
      </rPr>
      <t xml:space="preserve">Both full and lite questionares are available here: </t>
    </r>
    <r>
      <rPr>
        <rFont val="Verdana"/>
        <color rgb="FF1155CC"/>
        <sz val="11.0"/>
        <u/>
      </rPr>
      <t>https://ltiaas.com/compliance/CAIQ-Lite.pdf</t>
    </r>
    <r>
      <rPr>
        <rFont val="Verdana"/>
        <color rgb="FF000000"/>
        <sz val="11.0"/>
      </rPr>
      <t xml:space="preserve"> and </t>
    </r>
    <r>
      <rPr>
        <rFont val="Verdana"/>
        <color rgb="FF1155CC"/>
        <sz val="11.0"/>
        <u/>
      </rPr>
      <t>https://ltiaas.com/compliance/CAIQ_v3.1_Final.xlsx</t>
    </r>
  </si>
  <si>
    <t>DOCU-03</t>
  </si>
  <si>
    <t>Have you received the Cloud Security Alliance STAR certification?</t>
  </si>
  <si>
    <t>DOCU-04</t>
  </si>
  <si>
    <t>Do you conform with a specific industry standard security framework? (e.g. NIST Cybersecurity Framework, ISO 27001, etc.)</t>
  </si>
  <si>
    <t>We have had security consultants evaluate our policies and systems, and they have told us after review that we meet the basic requirements for ISO 27001 conformality. However, we have not finished the while certification process formally.</t>
  </si>
  <si>
    <t>DOCU-05</t>
  </si>
  <si>
    <t>Are you compliant with FISMA standards?</t>
  </si>
  <si>
    <t>We have not looked into FISMA specifically so compliance is unknown at this time. We will be working towards this compliance at a later date.</t>
  </si>
  <si>
    <t>DOCU-06</t>
  </si>
  <si>
    <t>Does your organization have a data privacy policy?</t>
  </si>
  <si>
    <t>https://ltiaas.com/privacy-policy</t>
  </si>
  <si>
    <t>COMP-01</t>
  </si>
  <si>
    <t>Describe your organization’s business background and ownership structure, including all parent and subsidiary relationships.</t>
  </si>
  <si>
    <t>GATHERACT LLC is a multi-member LLC in the state of Oregon. We have no employees, only members/owners. GATHERACT LLC is the owner of the LTIAAS product.</t>
  </si>
  <si>
    <t>Include circumstances that may involve off-shoring or multi-national agreements.</t>
  </si>
  <si>
    <t>COMP-02</t>
  </si>
  <si>
    <t>Describe how long your organization has conducted business in this product area.</t>
  </si>
  <si>
    <t>We have officially been in business for over one year. But our combined expertise is greater than 20 years.</t>
  </si>
  <si>
    <t>Include the number of years and in what capacity.</t>
  </si>
  <si>
    <t>COMP-03</t>
  </si>
  <si>
    <t>Do you have existing higher education customers?</t>
  </si>
  <si>
    <t>Available upon request</t>
  </si>
  <si>
    <t>COMP-04</t>
  </si>
  <si>
    <t>Have you had a significant breach in the last 5 years?</t>
  </si>
  <si>
    <t>COMP-05</t>
  </si>
  <si>
    <t>Do you have a dedicated Information Security staff or office?</t>
  </si>
  <si>
    <t>Our company is small so we don’t have dedicated staff. Once the company grows, we will have dedicated IS staff.</t>
  </si>
  <si>
    <t>COMP-06</t>
  </si>
  <si>
    <t>Do you have a dedicated Software and System Development team(s)? (e.g. Customer Support, Implementation, Product Management, etc.)</t>
  </si>
  <si>
    <t>Our company is small so we don’t have dedicated staff. Once the company grows, we will have more discrete rolls.</t>
  </si>
  <si>
    <t>COMP-07</t>
  </si>
  <si>
    <t>Use this area to share information about your environment that will assist those who are assessing your company data security program.</t>
  </si>
  <si>
    <t>We host an API service in the cloud. All services are hosted in Google Cloud services that have built-in threat detection. Each customer has a dedicated subdomain with independent data access roles. We also have several pre-deployment threat protection mechanisms in our GitLab code storage repositories.</t>
  </si>
  <si>
    <t>Share any details that would help information security analysts assess your product.</t>
  </si>
  <si>
    <t>THRD-01</t>
  </si>
  <si>
    <t>Describe how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t>
  </si>
  <si>
    <t>All of our third party providers must themselves be SOC-2 or ISO-27001 certified. We don’t enter into contracts with third parties that do not have documented security compliance that meets our standards.</t>
  </si>
  <si>
    <t>Ensure that all elements of THRD-01 are clearly stated in your response.</t>
  </si>
  <si>
    <t>THRD-02</t>
  </si>
  <si>
    <t>Provide a brief description for why each of these third parties will have access to institution data.</t>
  </si>
  <si>
    <t>We only share learning data with Google Cloud as they are hosting our SaaS offering on their infrastructure. We share it only indirectly in that we transfer encrypted live data through their infrastructure. No learning data is stored in backups, but metadata and customer account data is backed up in encrypted storage buckets.</t>
  </si>
  <si>
    <t>If more space is needed to sufficiently answer this question, provide reference to the document or add it as an appendix.</t>
  </si>
  <si>
    <t>THRD-03</t>
  </si>
  <si>
    <t>What legal agreements (i.e. contracts) do you have in place with these third parties that address liability in the event of a data breach?</t>
  </si>
  <si>
    <r>
      <rPr>
        <rFont val="Verdana"/>
        <color rgb="FF000000"/>
        <sz val="11.0"/>
      </rPr>
      <t xml:space="preserve">Google Cloud has clearly documented policies that are in place to manage data breaches: https://cloud.google.com/docs/security/incident-response and </t>
    </r>
    <r>
      <rPr>
        <rFont val="Verdana"/>
        <color rgb="FF1155CC"/>
        <sz val="11.0"/>
        <u/>
      </rPr>
      <t>https://cloud.google.com/terms/data-processing-addendum</t>
    </r>
  </si>
  <si>
    <t>Provide sufficient detail for each legal agreement in place.</t>
  </si>
  <si>
    <t>THRD-04</t>
  </si>
  <si>
    <t>Describe or provide references to your third party management strategy or provide additional information that may help analysts better understand your environment and how it relates to third-party solutions.</t>
  </si>
  <si>
    <t>We are a small company, so it is very easy for us to limit our list of third party data processors and manage our existing list. Today, there are only a handful third parties we work with: https://ltiaas.com/compliance. Only Google Cloud manages learning data. Because the company has two staff members it is easy for us to manage our third party interactions. We intend for our list of third parties to not change.</t>
  </si>
  <si>
    <t>Robust answers from the vendor improve the quality and efficiency of the security assessment process.</t>
  </si>
  <si>
    <t>CONS-01</t>
  </si>
  <si>
    <t>Will the consulting take place on-premises?</t>
  </si>
  <si>
    <t>CONS-02</t>
  </si>
  <si>
    <t>Will the consultant require access to Institution's network resources?</t>
  </si>
  <si>
    <t>CONS-03</t>
  </si>
  <si>
    <t>Will the consultant require access to hardware in the Institution's data centers?</t>
  </si>
  <si>
    <t>CONS-04</t>
  </si>
  <si>
    <t>Will the consultant require an account within the Institution's domain (@*.edu)?</t>
  </si>
  <si>
    <t>CONS-05</t>
  </si>
  <si>
    <t>Has the consultant received training on [sensitive, HIPAA, PCI, etc.] data handling?</t>
  </si>
  <si>
    <t>We do not handle sensitive material when we do consulting work. It is a requirement of any consulting contract.</t>
  </si>
  <si>
    <t>CONS-06</t>
  </si>
  <si>
    <t>Will any data be transferred to the consultant's possession?</t>
  </si>
  <si>
    <t>CONS-07</t>
  </si>
  <si>
    <t>Is it encrypted (at rest) while in the consultant's possession?</t>
  </si>
  <si>
    <t>Our HDDs are encrypted with strong passwords.</t>
  </si>
  <si>
    <t>CONS-08</t>
  </si>
  <si>
    <t>Will the consultant need remote access to the Institution's network or systems?</t>
  </si>
  <si>
    <t>CONS-09</t>
  </si>
  <si>
    <t>Can we restrict that access based on source IP address?</t>
  </si>
  <si>
    <t>APPL-01</t>
  </si>
  <si>
    <t>Do you support role-based access control (RBAC) for end-users?</t>
  </si>
  <si>
    <t>We support two roles for our end users in our customer portal. Admin and read-only user. To date we have not found a need to have more roles, but we are happy to add more if there is a need.</t>
  </si>
  <si>
    <t>APPL-02</t>
  </si>
  <si>
    <t>Do you support role-based access control (RBAC) for system administrators?</t>
  </si>
  <si>
    <t>We currently have several roles for LTIAAS system administrators. some of the roles are for users that need to access our GIT repos and create docker containers. We also have roles that give users acess to our monitoring services, service operations, and seperate roles for application deployment and backups. Google Cloud allows us to create roles on a fine-grain as needed.</t>
  </si>
  <si>
    <t>APPL-03</t>
  </si>
  <si>
    <t>Can employees access customer data remotely?</t>
  </si>
  <si>
    <t>We are a work-from-home company, so be definition, all data accessed is remote. While we can access LTI-related data of our customers, we have no way of accessing institution data.</t>
  </si>
  <si>
    <t>APPL-04</t>
  </si>
  <si>
    <t>Can you provide overall system and/or application architecture diagrams including a full description of the data communications architecture for all components of the system?</t>
  </si>
  <si>
    <r>
      <rPr>
        <rFont val="Verdana"/>
        <color rgb="FF0563C1"/>
        <sz val="11.0"/>
        <u/>
      </rPr>
      <t>https://ltiaas.com/compliance</t>
    </r>
  </si>
  <si>
    <t>APPL-05</t>
  </si>
  <si>
    <t xml:space="preserve">Does the system provide data input validation and error messages? </t>
  </si>
  <si>
    <r>
      <rPr>
        <rFont val="Verdana"/>
        <color rgb="FF0563C1"/>
        <sz val="11.0"/>
        <u/>
      </rPr>
      <t>https://ltiaas.com/docs</t>
    </r>
  </si>
  <si>
    <t>APPL-06</t>
  </si>
  <si>
    <t xml:space="preserve">Do you employ a single-tenant environment? </t>
  </si>
  <si>
    <t>APPL-07</t>
  </si>
  <si>
    <t>What operating system(s) is/are leveraged by the system(s)/application(s) that will have access to institution's data?</t>
  </si>
  <si>
    <t>Google-Managed CloudRun Linux images</t>
  </si>
  <si>
    <t>List all operating systems and the roles that are fulfilled by each.</t>
  </si>
  <si>
    <t>APPL-08</t>
  </si>
  <si>
    <t>Have you or any third party you contract with that may have access or allow access to the institution's data experienced a breach?</t>
  </si>
  <si>
    <t>APPL-09</t>
  </si>
  <si>
    <t xml:space="preserve">Describe or provide a reference to additional software/products necessary to implement a functional system on either the backend or user-interface side of the system. </t>
  </si>
  <si>
    <t>Typically, NodeJs</t>
  </si>
  <si>
    <t>Describe the products and how they will be implemented.</t>
  </si>
  <si>
    <t>APPL-10</t>
  </si>
  <si>
    <t xml:space="preserve">Describe or provide a reference to the overall system and/or application architecture(s), including appropriate diagrams. Include a full description of the data communications architecture for all components of the system. </t>
  </si>
  <si>
    <r>
      <rPr>
        <rFont val="Verdana"/>
        <color rgb="FF0563C1"/>
        <sz val="11.0"/>
        <u/>
      </rPr>
      <t>https://ltiaas.com/compliance</t>
    </r>
  </si>
  <si>
    <t>Ensure that all parts of APPL-10 are clearly stated in your response. Submit architecture diagrams along with this fully-populated HECVAT.</t>
  </si>
  <si>
    <t>APPL-11</t>
  </si>
  <si>
    <t>Are databases used in the system segregated from front-end systems? (e.g. web and application servers)</t>
  </si>
  <si>
    <t>Our databases are redundant and run on separate containers from the applications.</t>
  </si>
  <si>
    <t>APPL-12</t>
  </si>
  <si>
    <t xml:space="preserve">Describe or provide a reference to all web-enabled features and functionality of the system (i.e. accessed via a web-based interface). </t>
  </si>
  <si>
    <t>Each API instance can be accessed in two ways: through REST API that requires an API key only known by the customer. Through a customer portal where settings can be changed, but underlying API data can be accesses, just metadata like number of monthly active users.</t>
  </si>
  <si>
    <t>Include both end-user and administrative features and functions.</t>
  </si>
  <si>
    <t>APPL-13</t>
  </si>
  <si>
    <r>
      <rPr>
        <rFont val="Verdana"/>
        <color rgb="FF000000"/>
        <sz val="11.0"/>
      </rPr>
      <t xml:space="preserve">Are there any OS and/or web-browser combinations that are </t>
    </r>
    <r>
      <rPr>
        <rFont val="Verdana"/>
        <color rgb="FF000000"/>
        <sz val="11.0"/>
        <u/>
      </rPr>
      <t>not</t>
    </r>
    <r>
      <rPr>
        <rFont val="Verdana"/>
        <color rgb="FF000000"/>
        <sz val="11.0"/>
      </rPr>
      <t xml:space="preserve"> currently supported?</t>
    </r>
  </si>
  <si>
    <t>APPL-14</t>
  </si>
  <si>
    <t xml:space="preserve">Can your system take advantage of mobile and/or GPS enabled mobile devices?  </t>
  </si>
  <si>
    <t>We do not manage and UIs in our service and all HTTPS endpoints are mobile-friendly.</t>
  </si>
  <si>
    <t>APPL-15</t>
  </si>
  <si>
    <t>Describe or provide a reference to the facilities available in the system to provide separation of duties between security administration and system administration functions.</t>
  </si>
  <si>
    <r>
      <rPr>
        <rFont val="Verdana"/>
        <color rgb="FF000000"/>
        <sz val="11.0"/>
      </rPr>
      <t xml:space="preserve">This is documented in detail here: </t>
    </r>
    <r>
      <rPr>
        <rFont val="Verdana"/>
        <color rgb="FF0563C1"/>
        <sz val="11.0"/>
        <u/>
      </rPr>
      <t>https://ltiaas.com/compliance</t>
    </r>
  </si>
  <si>
    <t>Include a detailed description of how security administration and system administration authority is separated, controls are verified, and logs are reviewed regularly to ensure appropriate use.</t>
  </si>
  <si>
    <t>APPL-16</t>
  </si>
  <si>
    <t>Describe or provide a reference that details how administrator access is handled (e.g. provisioning, principle of least privilege, deprovisioning, etc.)</t>
  </si>
  <si>
    <r>
      <rPr>
        <rFont val="Verdana"/>
        <color rgb="FF000000"/>
        <sz val="11.0"/>
      </rPr>
      <t xml:space="preserve">This is documented in detail here: </t>
    </r>
    <r>
      <rPr>
        <rFont val="Verdana"/>
        <color rgb="FF0563C1"/>
        <sz val="11.0"/>
        <u/>
      </rPr>
      <t>https://ltiaas.com/compliance</t>
    </r>
  </si>
  <si>
    <t xml:space="preserve">Ensure that all parts of APPL-16 are clearly stated in your response. </t>
  </si>
  <si>
    <t>APPL-17</t>
  </si>
  <si>
    <t>Describe or provide references explaining how tertiary services are redundant (i.e. DNS, ISP, etc.).</t>
  </si>
  <si>
    <r>
      <rPr>
        <rFont val="Verdana"/>
        <color rgb="FF000000"/>
        <sz val="11.0"/>
      </rPr>
      <t xml:space="preserve">This is documented in detail here: </t>
    </r>
    <r>
      <rPr>
        <rFont val="Verdana"/>
        <color rgb="FF0563C1"/>
        <sz val="11.0"/>
        <u/>
      </rPr>
      <t>https://ltiaas.com/compliance</t>
    </r>
  </si>
  <si>
    <t>Ensure that all parts of APPL-18 are clearly stated in your response. The examples given are not exhaustive - elaborate as necessary.</t>
  </si>
  <si>
    <t>AAAI-01</t>
  </si>
  <si>
    <t>Can you enforce password/passphrase aging requirements?</t>
  </si>
  <si>
    <t>All employees have a 6-month password change requirement. Customer password aging is managed by the customer's persinal Google OAuth account settings.</t>
  </si>
  <si>
    <t>AAAI-02</t>
  </si>
  <si>
    <t>Can you enforce password/passphrase complexity requirements [provided by the institution]?</t>
  </si>
  <si>
    <t>We do not handle institution user accounts or passwords.</t>
  </si>
  <si>
    <t>AAAI-03</t>
  </si>
  <si>
    <t>Does the system have password complexity or length limitations and/or restrictions?</t>
  </si>
  <si>
    <t>AAAI-04</t>
  </si>
  <si>
    <t>Do you have documented password/passphrase reset procedures that are currently implemented in the system and/or customer support?</t>
  </si>
  <si>
    <t>We use Google authentication for our staff accounts.</t>
  </si>
  <si>
    <t>AAAI-05</t>
  </si>
  <si>
    <t>Does your web-based interface support authentication, including standards-based single-sign-on? (e.g. InCommon)</t>
  </si>
  <si>
    <t>Google OAuth, potentially more available upon request</t>
  </si>
  <si>
    <t>AAAI-06</t>
  </si>
  <si>
    <t>Are there any passwords/passphrases hard coded into your systems or products?</t>
  </si>
  <si>
    <t>AAAI-07</t>
  </si>
  <si>
    <t>Are user account passwords/passphrases visible in administration modules?</t>
  </si>
  <si>
    <t>AAAI-08</t>
  </si>
  <si>
    <t>Are user account passwords/passphrases stored encrypted?</t>
  </si>
  <si>
    <r>
      <rPr>
        <rFont val="Verdana"/>
        <color rgb="FF0563C1"/>
        <sz val="11.0"/>
        <u/>
      </rPr>
      <t>https://firebaseopensource.com/projects/firebase/scrypt/</t>
    </r>
  </si>
  <si>
    <t>AAAI-09</t>
  </si>
  <si>
    <r>
      <rPr>
        <rFont val="Verdana"/>
        <color rgb="FF000000"/>
        <sz val="11.0"/>
      </rPr>
      <t xml:space="preserve">Does your </t>
    </r>
    <r>
      <rPr>
        <rFont val="Verdana"/>
        <i/>
        <color rgb="FF000000"/>
        <sz val="11.0"/>
      </rPr>
      <t>application</t>
    </r>
    <r>
      <rPr>
        <rFont val="Verdana"/>
        <color rgb="FF000000"/>
        <sz val="11.0"/>
      </rPr>
      <t xml:space="preserve"> and/or user-frontend/portal support multi-factor authentication? (e.g. Duo, Google Authenticator, OTP, etc.)</t>
    </r>
  </si>
  <si>
    <t>We support multi factor authentication through Google</t>
  </si>
  <si>
    <t>AAAI-10</t>
  </si>
  <si>
    <r>
      <rPr>
        <rFont val="Verdana"/>
        <color rgb="FF000000"/>
        <sz val="11.0"/>
      </rPr>
      <t xml:space="preserve">Does your </t>
    </r>
    <r>
      <rPr>
        <rFont val="Verdana"/>
        <i/>
        <color rgb="FF000000"/>
        <sz val="11.0"/>
      </rPr>
      <t xml:space="preserve">application </t>
    </r>
    <r>
      <rPr>
        <rFont val="Verdana"/>
        <color rgb="FF000000"/>
        <sz val="11.0"/>
      </rPr>
      <t>support integration with other authentication and authorization systems?  List which ones (such as Active Directory, Kerberos and what version) in Additional Info?</t>
    </r>
  </si>
  <si>
    <t>Our system supports Google SSO, other systems may be requested.</t>
  </si>
  <si>
    <t>AAAI-11</t>
  </si>
  <si>
    <t>Will any external authentication or authorization system be utilized by an application with access to the institution's data?</t>
  </si>
  <si>
    <t>Our system supports and requires Google SSO</t>
  </si>
  <si>
    <t>AAAI-12</t>
  </si>
  <si>
    <r>
      <rPr>
        <rFont val="Verdana"/>
        <color rgb="FF000000"/>
        <sz val="11.0"/>
      </rPr>
      <t xml:space="preserve">Does the </t>
    </r>
    <r>
      <rPr>
        <rFont val="Verdana"/>
        <i/>
        <color rgb="FF000000"/>
        <sz val="11.0"/>
      </rPr>
      <t>system</t>
    </r>
    <r>
      <rPr>
        <rFont val="Verdana"/>
        <color rgb="FF000000"/>
        <sz val="11.0"/>
      </rPr>
      <t xml:space="preserve"> (servers/infrastructure) support external authentication services (e.g. Active Directory, LDAP) in place of local authentication?</t>
    </r>
  </si>
  <si>
    <t>AAAI-13</t>
  </si>
  <si>
    <t>Does the system operate in a mixed authentication mode (i.e. external and local authentication)?</t>
  </si>
  <si>
    <t>We don't use SQL or other services where this is recommended or even possible.</t>
  </si>
  <si>
    <t>AAAI-14</t>
  </si>
  <si>
    <t>Will any external authentication or authorization system be utilized by a system with access to institution data?</t>
  </si>
  <si>
    <t>AAAI-15</t>
  </si>
  <si>
    <t>Are audit logs available that include AT LEAST all of the following; login, logout, actions performed, and source IP address?</t>
  </si>
  <si>
    <t>All customers can access these logs via their customer portals. The 100 most recent logs are saved for the customer. More logs are stored by LTIAAS for 7 days.</t>
  </si>
  <si>
    <t>AAAI-16</t>
  </si>
  <si>
    <r>
      <rPr>
        <rFont val="Verdana"/>
        <color rgb="FF000000"/>
        <sz val="11.0"/>
      </rPr>
      <t xml:space="preserve">Describe or provide a reference to the a) system capability to </t>
    </r>
    <r>
      <rPr>
        <rFont val="Verdana"/>
        <b/>
        <color rgb="FF000000"/>
        <sz val="11.0"/>
      </rPr>
      <t>log</t>
    </r>
    <r>
      <rPr>
        <rFont val="Verdana"/>
        <color rgb="FF000000"/>
        <sz val="11.0"/>
      </rPr>
      <t xml:space="preserve"> </t>
    </r>
    <r>
      <rPr>
        <rFont val="Verdana"/>
        <color rgb="FF000000"/>
        <sz val="11.0"/>
        <u/>
      </rPr>
      <t>security/authorization changes</t>
    </r>
    <r>
      <rPr>
        <rFont val="Verdana"/>
        <color rgb="FF000000"/>
        <sz val="11.0"/>
      </rPr>
      <t xml:space="preserve"> as well as </t>
    </r>
    <r>
      <rPr>
        <rFont val="Verdana"/>
        <color rgb="FF000000"/>
        <sz val="11.0"/>
        <u/>
      </rPr>
      <t>user and administrator security events</t>
    </r>
    <r>
      <rPr>
        <rFont val="Verdana"/>
        <color rgb="FF000000"/>
        <sz val="11.0"/>
      </rPr>
      <t xml:space="preserve"> (i.e. physical or electronic)(e.g. login failures, access denied, changes accepted), and b) all requirements necessary to implement logging and monitoring on the system. Include c) information about SIEM/log collector usage.</t>
    </r>
  </si>
  <si>
    <t>All events that take place on our systems are logged via a Google Cloud's logging service. All access logs are stored in Google Cloud as well. This includes audit logs of user authentications.</t>
  </si>
  <si>
    <t>Ensure that all elements of AAAI-16 are clearly stated in your response.</t>
  </si>
  <si>
    <t>AAAI-17</t>
  </si>
  <si>
    <t>Describe or provide a reference to the retention period for those logs, how logs are protected, and whether they are accessible to the customer (and if so, how).</t>
  </si>
  <si>
    <t>All logs are retained for 7 days. The only logs that are accessible to the customer are logs pertaining to their specific API instance. These logs can only be accessed via the customer portal.</t>
  </si>
  <si>
    <t>Ensure that all elements of AAAI-17 are clearly stated in your response.</t>
  </si>
  <si>
    <t>BCPL-01</t>
  </si>
  <si>
    <t>Describe or provide a reference to your Business Continuity Plan (BCP).</t>
  </si>
  <si>
    <t>Available Under NDA
Last Reviewed: Feb. 15, 2021
Table Of Contents:
  1. Program Administration
  1.1 Purpose
  1.2 Prioritized Business Functions and Recovery Plans
  2. Notification &amp; Activation
  3. External Vendors
  4. Internal Responsibilities
  5. Relocation &amp; Recovery Operations
  6. Review and Testing
  7. Plan Deactivation
  8. Assumptions
  9. Additional Comments</t>
  </si>
  <si>
    <t>Provide a valid URL to your current BCP or submit it along with this fully-populated HECVAT.</t>
  </si>
  <si>
    <t>BCPL-02</t>
  </si>
  <si>
    <t>May the Institution review your BCP and supporting documentation?</t>
  </si>
  <si>
    <t>Under NDA only.</t>
  </si>
  <si>
    <t>BCPL-03</t>
  </si>
  <si>
    <t>Is an owner assigned who is responsible for the maintenance and review of the Business Continuity Plan?</t>
  </si>
  <si>
    <t>BCPL-04</t>
  </si>
  <si>
    <t>Is there a defined problem/issue escalation plan in your BCP for impacted clients?</t>
  </si>
  <si>
    <t>BCPL-05</t>
  </si>
  <si>
    <t>Is there a documented communication plan in your BCP for impacted clients?</t>
  </si>
  <si>
    <t xml:space="preserve">The BCP is designed to have minimal to no impact on customers. i.e. maintainging out SLA uptime agreement. In the even that this can't be met during a disaster, we have an email system in place. </t>
  </si>
  <si>
    <t>BCPL-06</t>
  </si>
  <si>
    <t xml:space="preserve">Are all components of the BCP reviewed at least annually and updated as needed to reflect change? </t>
  </si>
  <si>
    <t>BCPL-07</t>
  </si>
  <si>
    <t xml:space="preserve">Has your BCP been tested in the last year? </t>
  </si>
  <si>
    <t>BCPL-08</t>
  </si>
  <si>
    <t>Does your organization conduct training and awareness activities to validate its employees understanding of their roles and responsibilities during a crisis?</t>
  </si>
  <si>
    <t>BCPL-09</t>
  </si>
  <si>
    <t>Are specific crisis management roles and responsibilities defined and documented?</t>
  </si>
  <si>
    <t>BCPL-10</t>
  </si>
  <si>
    <t>Does your organization have an alternative business site or a contracted Business Recovery provider?</t>
  </si>
  <si>
    <t>We are a work-from-home company. The alternate business site is virtual, i.e. a different cloud provider site.</t>
  </si>
  <si>
    <t>BCPL-11</t>
  </si>
  <si>
    <t>Does your organization conduct an annual test of relocating to an alternate site for business recovery purposes?</t>
  </si>
  <si>
    <t>BCPL-12</t>
  </si>
  <si>
    <t>Is this product a core service of your organization, and as such, the top priority during business continuity planning?</t>
  </si>
  <si>
    <t>CHNG-01</t>
  </si>
  <si>
    <t xml:space="preserve">Do you have a documented and currently followed change management process (CMP)? </t>
  </si>
  <si>
    <r>
      <rPr>
        <rFont val="Verdana"/>
        <color rgb="FF0563C1"/>
        <sz val="11.0"/>
        <u/>
      </rPr>
      <t>https://ltiaas.com/compliance/Comprehensive_IT_Security_Policy.pdf</t>
    </r>
    <r>
      <rPr>
        <rFont val="Verdana"/>
        <color rgb="FF000000"/>
        <sz val="11.0"/>
      </rPr>
      <t xml:space="preserve"> Page 101</t>
    </r>
  </si>
  <si>
    <t>CHNG-02</t>
  </si>
  <si>
    <t>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t>
  </si>
  <si>
    <t>Please see our comprehensive security policy at https://ltiaas.com/compliance</t>
  </si>
  <si>
    <t>Ensure that all parts of CHNG-02 are clearly stated in your response.</t>
  </si>
  <si>
    <t>CHNG-03</t>
  </si>
  <si>
    <t>Will the Institution be notified of major changes to your environment that could impact the Institution's security posture?</t>
  </si>
  <si>
    <t>All customers will be notified via email before a major change is made if possible, depending on the nature of the change.</t>
  </si>
  <si>
    <t>CHNG-04</t>
  </si>
  <si>
    <t>Do clients have the option to not participate in or postpone an upgrade to a new release?</t>
  </si>
  <si>
    <t>Typically we expect customers to comply with a change within 30 days, but extensions can be granted. We have never made a non-backward-compatable change that would require a customer codebase update. The only changes we have made historically are DNS changes that are unlikely to happen in the future.</t>
  </si>
  <si>
    <t>CHNG-05</t>
  </si>
  <si>
    <t>Describe or provide a reference to your solution support strategy in relation to maintaining software currency. (i.e. how many concurrent versions are you willing to run and support?)</t>
  </si>
  <si>
    <t>We have the capability to support any number of concurrent versions, only per customer request. We do not support maintaining versions with potential security vulnerabilities.</t>
  </si>
  <si>
    <t>Ensure that all relevant details pertaining to CHNG-05 are clearly stated in your response.</t>
  </si>
  <si>
    <t>CHNG-06</t>
  </si>
  <si>
    <t>Identify the most current version of the software. Detail the percentage of live customers that are utilizing the proposed version of the software as well as each version of the software currently in use.</t>
  </si>
  <si>
    <t>All customers today are using the latest version of the LTIAAS API service software. Production software on LTIAAS servers is updated regularly with no impact to down time.</t>
  </si>
  <si>
    <t>Ensure that all parts of CHNG-06 are clearly stated in your response.</t>
  </si>
  <si>
    <t>CHNG-07</t>
  </si>
  <si>
    <t>Does the system support client customizations from one release to another?</t>
  </si>
  <si>
    <t>We have the capability to create a custom build of our software in some instances. These modified builds still require the same change management procedure thus they incur a management fee.</t>
  </si>
  <si>
    <t>CHNG-08</t>
  </si>
  <si>
    <r>
      <rPr>
        <rFont val="Verdana"/>
        <color rgb="FF000000"/>
        <sz val="11.0"/>
      </rPr>
      <t xml:space="preserve">Does your organization ensure through policy and procedure (that is currently implemented) that </t>
    </r>
    <r>
      <rPr>
        <rFont val="Verdana"/>
        <color rgb="FF000000"/>
        <sz val="11.0"/>
        <u/>
      </rPr>
      <t>only application software verifiable as authorized, tested, and approved for production</t>
    </r>
    <r>
      <rPr>
        <rFont val="Verdana"/>
        <color rgb="FF000000"/>
        <sz val="11.0"/>
      </rPr>
      <t>, and having met all other requirements and reviews necessary for commissioning, is placed into production?</t>
    </r>
  </si>
  <si>
    <t>All of our software is scanned before being allowed to be released. Only released software can be deployed.</t>
  </si>
  <si>
    <t>CHNG-09</t>
  </si>
  <si>
    <t>Do you have a release schedule for product updates?</t>
  </si>
  <si>
    <t>Releases are made infrequently on an as-needed basis</t>
  </si>
  <si>
    <t>CHNG-10</t>
  </si>
  <si>
    <t>Do you have a technology roadmap, for the next 2 years, for enhancements and bug fixes for the product/service being assessed?</t>
  </si>
  <si>
    <t>This is proprietary and not available publicly.</t>
  </si>
  <si>
    <t>CHNG-11</t>
  </si>
  <si>
    <t>Is Institution involvement (i.e. technically or organizationally) required during product updates?</t>
  </si>
  <si>
    <t>CHNG-12</t>
  </si>
  <si>
    <t>Do you have policy and procedure, currently implemented, managing how critical patches are applied to all systems and applications?</t>
  </si>
  <si>
    <t>All patches are implemented, tested, and checked for vulnerabilities before deployment. Patches are deployed with zero downtime and are totally transparent to the user.</t>
  </si>
  <si>
    <t>CHNG-13</t>
  </si>
  <si>
    <t>Do you have policy and procedure, currently implemented, guiding how security risks are mitigated until patches can be applied?</t>
  </si>
  <si>
    <r>
      <rPr>
        <rFont val="Verdana"/>
        <color rgb="FF000000"/>
        <sz val="11.0"/>
      </rPr>
      <t xml:space="preserve">We scan for security risks in our deployed software at least monthly. If one is found, we have procedures in place to asses the risk and take immediate temporary action. Typical actions include: Specific state monitoring and disabling of non-critical services. See more at </t>
    </r>
    <r>
      <rPr>
        <rFont val="Verdana"/>
        <color rgb="FF0563C1"/>
        <sz val="11.0"/>
        <u/>
      </rPr>
      <t>https://ltiaas.com/compliance</t>
    </r>
  </si>
  <si>
    <t>CHNG-14</t>
  </si>
  <si>
    <t>Are upgrades or system changes installed during off-peak hours or in a manner that does not impact the customer?</t>
  </si>
  <si>
    <t>All upgrades are hot-swapped with zero down time in a non-batch mode at 11PM PST.</t>
  </si>
  <si>
    <t>CHNG-15</t>
  </si>
  <si>
    <t>Do procedures exist to provide that emergency changes are documented and authorized (including after the fact approval)?</t>
  </si>
  <si>
    <r>
      <rPr>
        <rFont val="Verdana"/>
        <color rgb="FF0563C1"/>
        <sz val="11.0"/>
        <u/>
      </rPr>
      <t>https://ltiaas.com/compliance/Comprehensive_IT_Security_Policy.pdf</t>
    </r>
    <r>
      <rPr>
        <rFont val="Verdana"/>
        <color rgb="FF000000"/>
        <sz val="11.0"/>
      </rPr>
      <t xml:space="preserve"> Page 101</t>
    </r>
  </si>
  <si>
    <t>DATA-01</t>
  </si>
  <si>
    <t>Do you physically and logically separate Institution's data from that of other customers?</t>
  </si>
  <si>
    <t>Each institution's data can only be accessed via a customer provided AKI key and LTIAAS internal key. Customer data is not physically seperated from other customer data.</t>
  </si>
  <si>
    <t>DATA-02</t>
  </si>
  <si>
    <t>Will Institution's data be stored on any devices (database servers, file servers, SAN, NAS, …) configured with non-RFC 1918/4193 (i.e. publicly routable) IP addresses?</t>
  </si>
  <si>
    <t>DATA-03</t>
  </si>
  <si>
    <t>Is sensitive data encrypted in transport? (e.g. system-to-client)</t>
  </si>
  <si>
    <t>SSL</t>
  </si>
  <si>
    <t>DATA-04</t>
  </si>
  <si>
    <t>Is sensitive data encrypted in storage (e.g. disk encryption, at-rest)?</t>
  </si>
  <si>
    <t>AES-128 encrypted cloud drives</t>
  </si>
  <si>
    <t>DATA-05</t>
  </si>
  <si>
    <t>Do you employ or allow any cryptographic modules that do not conform to the Federal Information Processing Standards (FIPS PUB 140-2)?</t>
  </si>
  <si>
    <t>DATA-06</t>
  </si>
  <si>
    <t>Does your system employ encryption technologies when transmitting sensitive information over TCP/IP networks (e.g., SSH, SSL/TLS, VPN)? (e.g. system-to-system and system-to-client)</t>
  </si>
  <si>
    <t>All communicates in, out, and within LTIAAS use SSL</t>
  </si>
  <si>
    <t>DATA-07</t>
  </si>
  <si>
    <t>List all locations (i.e. city + datacenter name) where the institution's data will be stored?</t>
  </si>
  <si>
    <t>Google Cloud data centers in Iowa and Oklahoma. The Google Datachenter in South Carolina is used as a witness region for database consistency.</t>
  </si>
  <si>
    <t>Ensure that all parts of DATA-07 are clearly stated in your response.</t>
  </si>
  <si>
    <t>DATA-08</t>
  </si>
  <si>
    <t>At the completion of this contract, will data be returned to the institution?</t>
  </si>
  <si>
    <t>We don't store any data beyond 24 hours.</t>
  </si>
  <si>
    <t>DATA-09</t>
  </si>
  <si>
    <t>Will the institution's data be available within the system for a period of time at the completion of this contract?</t>
  </si>
  <si>
    <t>DATA-10</t>
  </si>
  <si>
    <t>Can the institution extract a full backup of data?</t>
  </si>
  <si>
    <t>We don't store any data beyond 24 hours. Even the data we do store would be useless to any institution</t>
  </si>
  <si>
    <t>DATA-11</t>
  </si>
  <si>
    <t>Are ownership rights to all data, inputs, outputs, and metadata retained by the institution?</t>
  </si>
  <si>
    <t>DATA-12</t>
  </si>
  <si>
    <t>Are these rights retained even through a provider acquisition or bankruptcy event?</t>
  </si>
  <si>
    <t>DATA-13</t>
  </si>
  <si>
    <t>In the event of imminent bankruptcy, closing of business, or retirement of service, will you provide 90 days for customers to get their data out of the system and migrate applications?</t>
  </si>
  <si>
    <t>Institutions would be notified via email</t>
  </si>
  <si>
    <t>DATA-14</t>
  </si>
  <si>
    <t xml:space="preserve">Describe or provide a reference to the backup processes for the servers on which the service and/or data resides. </t>
  </si>
  <si>
    <t>Our backup strategy is two-pronged. The state of our services is contained in manifest files that can be easily and immediately redeployed. All data in our database is backed up daily. Backups are done with Google Cloud Storage and are automatically deleted after 30 days.</t>
  </si>
  <si>
    <t>If your strategy uses different processes for services and data, ensure that all strategies are clearly stated and supported.</t>
  </si>
  <si>
    <t>DATA-15</t>
  </si>
  <si>
    <t>Are backup copies made according to pre-defined schedules and securely stored and protected?</t>
  </si>
  <si>
    <t>see DATA-14</t>
  </si>
  <si>
    <t>DATA-16</t>
  </si>
  <si>
    <t>How long are data backups stored?</t>
  </si>
  <si>
    <t>30 days</t>
  </si>
  <si>
    <t>If your backup strategy uses varying periods, ensure that each strategy is clearly stated and supported.</t>
  </si>
  <si>
    <t>DATA-17</t>
  </si>
  <si>
    <t>Are data backups encrypted?</t>
  </si>
  <si>
    <t>AES-128</t>
  </si>
  <si>
    <t>DATA-18</t>
  </si>
  <si>
    <t>Do you have a cryptographic key management process (generation, exchange, storage, safeguards, use, vetting, and replacement), that is documented and currently implemented, for all system components? (e.g. database, system, web, etc.)</t>
  </si>
  <si>
    <r>
      <rPr>
        <rFont val="Verdana"/>
        <color rgb="FF000000"/>
        <sz val="12.0"/>
      </rPr>
      <t xml:space="preserve">This is documented here: </t>
    </r>
    <r>
      <rPr>
        <rFont val="Verdana"/>
        <color rgb="FF1155CC"/>
        <sz val="12.0"/>
        <u/>
      </rPr>
      <t>https://ltiaas.com/compliance</t>
    </r>
  </si>
  <si>
    <t>DATA-19</t>
  </si>
  <si>
    <t>Do current backups include all operating system software, utilities, security software, application software, and data files necessary for recovery?</t>
  </si>
  <si>
    <t>DATA-20</t>
  </si>
  <si>
    <t>Are you performing off site backups? (i.e. digitally moved off site)</t>
  </si>
  <si>
    <t>DATA-21</t>
  </si>
  <si>
    <t>Are physical backups taken off site? (i.e. physically moved off site)</t>
  </si>
  <si>
    <t>We have no plans to implement physical backups</t>
  </si>
  <si>
    <t>DATA-22</t>
  </si>
  <si>
    <t>Do backups containing the institution's data ever leave the Institution's Data Zone either physically or via network routing?</t>
  </si>
  <si>
    <t>DATA-23</t>
  </si>
  <si>
    <t>Do you have a media handling process, that is documented and currently implemented, including end-of-life, repurposing, and data sanitization procedures?</t>
  </si>
  <si>
    <t>This is handled by Google Cloud. They have a clear policy on this.</t>
  </si>
  <si>
    <t>DATA-24</t>
  </si>
  <si>
    <t>Does the process described in DATA-23 adhere to DoD 5220.22-M and/or NIST SP 800-88 standards?</t>
  </si>
  <si>
    <t>DATA-25</t>
  </si>
  <si>
    <t>Do procedures exist to ensure that retention and destruction of data meets established business and regulatory requirements?</t>
  </si>
  <si>
    <t>We don't retain customer data for longer than 24 hours. We have auto-deletion policies in our live databases. Batabase backups are auto-deleted after 30 days via a retention policy.</t>
  </si>
  <si>
    <t>DATA-26</t>
  </si>
  <si>
    <t>Is media used for long-term retention of business data and archival purposes stored in a secure, environmentally protected area?</t>
  </si>
  <si>
    <t>DATA-27</t>
  </si>
  <si>
    <t>Will you handle data in a FERPA compliant manner?</t>
  </si>
  <si>
    <t>We don't store education data.</t>
  </si>
  <si>
    <t>DATA-28</t>
  </si>
  <si>
    <t>Is any institution data visible in system administration modules/tools?</t>
  </si>
  <si>
    <t>DBAS-01</t>
  </si>
  <si>
    <t>Does the database support encryption of specified data elements in storage?</t>
  </si>
  <si>
    <t>We encrypt data at rest in our firestore database: https://firebase.google.com/support/privacy</t>
  </si>
  <si>
    <t>DBAS-02</t>
  </si>
  <si>
    <t>Do you currently use encryption in your database(s)?</t>
  </si>
  <si>
    <t>DCTR-01</t>
  </si>
  <si>
    <t>Does your company own the physical data center where the Institution's data will reside?</t>
  </si>
  <si>
    <t>DCTR-02</t>
  </si>
  <si>
    <t>Does the hosting provider have a SOC 2 Type 2 report available?</t>
  </si>
  <si>
    <t>https://cloud.google.com/security/compliance/soc-2</t>
  </si>
  <si>
    <t>DCTR-03</t>
  </si>
  <si>
    <t>Are the data centers staffed 24 hours a day, seven days a week (i.e., 24x7x365)?</t>
  </si>
  <si>
    <t>DCTR-04</t>
  </si>
  <si>
    <t>Do any of your servers reside in a co-located data center?</t>
  </si>
  <si>
    <t>we use cloud hosting only</t>
  </si>
  <si>
    <t>DCTR-05</t>
  </si>
  <si>
    <t>Are your servers separated from other companies via a physical barrier, such as a cage or hardened walls?</t>
  </si>
  <si>
    <t>DCTR-06</t>
  </si>
  <si>
    <t>Does a physical barrier fully enclose the physical space preventing unauthorized physical contact with any of your devices?</t>
  </si>
  <si>
    <r>
      <rPr>
        <rFont val="Verdana"/>
        <color rgb="FF000000"/>
        <sz val="12.0"/>
      </rPr>
      <t xml:space="preserve">Yes: </t>
    </r>
    <r>
      <rPr>
        <rFont val="Verdana"/>
        <color rgb="FF1155CC"/>
        <sz val="12.0"/>
        <u/>
      </rPr>
      <t>https://cloud.google.com/security/compliance/soc-2</t>
    </r>
  </si>
  <si>
    <t>DCTR-07</t>
  </si>
  <si>
    <t>Select the option that best describes the network segment that servers are connected to.</t>
  </si>
  <si>
    <t>Exclusive VLAN</t>
  </si>
  <si>
    <t>Provide a general summary of the implemented networking strategy.</t>
  </si>
  <si>
    <t>DCTR-08</t>
  </si>
  <si>
    <t>Does this data center operate outside of the Institution's Data Zone?</t>
  </si>
  <si>
    <t>DCTR-09</t>
  </si>
  <si>
    <t>Will any institution data leave the Institution's Data Zone?</t>
  </si>
  <si>
    <t>DCTR-10</t>
  </si>
  <si>
    <t xml:space="preserve">List all datacenters and the cities, states (provinces), and countries where the Institution's data will be stored (including within the Institution's Data Zone).   </t>
  </si>
  <si>
    <t>San Francisco, USA; Iowa, USA</t>
  </si>
  <si>
    <t>Ensure that all parts of DCTR-10 are clearly stated in your response.</t>
  </si>
  <si>
    <t>DCTR-11</t>
  </si>
  <si>
    <t>Are your primary and secondary data centers geographically diverse?</t>
  </si>
  <si>
    <t>We only have one data center, but plan for redundency in about a year</t>
  </si>
  <si>
    <t>DCTR-12</t>
  </si>
  <si>
    <t>If outsourced or co-located, is there a contract in place to prevent data from leaving the Institution's Data Zone?</t>
  </si>
  <si>
    <t>Google Cloud has no mechinism to move our data.</t>
  </si>
  <si>
    <t>DCTR-13</t>
  </si>
  <si>
    <t>What Tier Level is your data center (per levels defined by the Uptime Institute)?</t>
  </si>
  <si>
    <t>Tier IV</t>
  </si>
  <si>
    <t>Review the Uptime Institute's level/tier direction provided on their website if you need addition information to answer DCTR-13.</t>
  </si>
  <si>
    <t>DCTR-14</t>
  </si>
  <si>
    <t>Is the service hosted in a high availability environment?</t>
  </si>
  <si>
    <t>DCTR-15</t>
  </si>
  <si>
    <t xml:space="preserve">Is redundant power available for all datacenters where institution data will reside? </t>
  </si>
  <si>
    <t>DCTR-16</t>
  </si>
  <si>
    <t>Are redundant power strategies tested?</t>
  </si>
  <si>
    <t>DCTR-17</t>
  </si>
  <si>
    <t>Describe or provide a reference to the availability of cooling and fire suppression systems in all datacenters where institution data will reside.</t>
  </si>
  <si>
    <t>All data centers we use are SOC-2 compliant</t>
  </si>
  <si>
    <t>Ensure that all parts of DCTR-17 are clearly stated in your response.</t>
  </si>
  <si>
    <t>DCTR-18</t>
  </si>
  <si>
    <t xml:space="preserve">State how many Internet Service Providers (ISPs) provide connectivity to each datacenter where the institution's data will reside. </t>
  </si>
  <si>
    <t>Unknown</t>
  </si>
  <si>
    <t>State the ISP provider(s) in addition to the number of ISPs that provide connectivity.</t>
  </si>
  <si>
    <t>DCTR-19</t>
  </si>
  <si>
    <t>Does every datacenter where the Institution's data will reside have multiple telephone company or network provider entrances to the facility?</t>
  </si>
  <si>
    <t>The data centers are Tier-4 SOC-2 compliant</t>
  </si>
  <si>
    <t>DRPL-01</t>
  </si>
  <si>
    <t>Describe or provide a reference to your Disaster Recovery Plan (DRP).</t>
  </si>
  <si>
    <t>We have a comprehensive disaster recovery plan that is available under NDA
Last Reviewed: Feb. 15, 2021
Table Of Contents:
1. INTRODUCTION
1.1 Overview
1.2 Purpose
1.3 Priorities
1.4 Objective
2. Roles and Responsibilities
3. Disaster Recovery Plan
3.1 Financial Resources
3.2 Data and Document Back Up
3.3 Client and Supplier Communication
3.4 Internal Communication
4. Action Plan
4.1 Key Personnel
4.2 Vital Data and Documents
4.3 Salvage of Original Infrastructure
4.4 Communication Strategy
4.5 Implement Temporary Transfer
4.5 Monitoring the Recovery Process
4.7 Recovery Time
5. Implementation
5.1 Day 1
5.2 Subsequent Days
"</t>
  </si>
  <si>
    <t>Provide a valid URL to your current DRP or submit it along with this fully-populated HECVAT.</t>
  </si>
  <si>
    <t>DRPL-02</t>
  </si>
  <si>
    <t>Is an owner assigned who is responsible for the maintenance and review of the DRP?</t>
  </si>
  <si>
    <t>DRPL-03</t>
  </si>
  <si>
    <t>Can the Institution review your DRP and supporting documentation?</t>
  </si>
  <si>
    <t>Only under NDA</t>
  </si>
  <si>
    <t>DRPL-04</t>
  </si>
  <si>
    <t>Are any disaster recovery locations outside the Institution's Data Zone?</t>
  </si>
  <si>
    <t>DRPL-05</t>
  </si>
  <si>
    <t>Does your organization have a disaster recovery site or a contracted Disaster Recovery provider?</t>
  </si>
  <si>
    <t>We have identified 5+ data centers that are suitable and compliant in the event of an initiated disaster recovery</t>
  </si>
  <si>
    <t>DRPL-06</t>
  </si>
  <si>
    <t>Does your organization conduct an annual test of relocating to this site for disaster recovery purposes?</t>
  </si>
  <si>
    <t>We test account migration/restoration annually. This involves an API gateway configuration change (for each test account) and data restoration to a new site.</t>
  </si>
  <si>
    <t>DRPL-07</t>
  </si>
  <si>
    <t>Is there a defined problem/issue escalation plan in your DRP for impacted clients?</t>
  </si>
  <si>
    <t>DRPL-08</t>
  </si>
  <si>
    <t>Is there a documented communication plan in your DRP for impacted clients?</t>
  </si>
  <si>
    <t>DRPL-09</t>
  </si>
  <si>
    <t>Describe or provide a reference to how your disaster recovery plan is tested? (i.e. scope of DR tests, end-to-end testing, etc.)</t>
  </si>
  <si>
    <t>1. We have test accounts that are connected to multiple LMSes. The test accounts are validated to work correctly.
2. Test account configuration is restored from backup into a new site
3. Our API gateway (per account) is configured to point to the new site. No DNS change is necessicary.
4. The test account(s) are testsed with the LMSes again. No LMS configureation change should be necessicary.</t>
  </si>
  <si>
    <t>Ensure that all elements of DRPL-09 are clearly stated in your response.</t>
  </si>
  <si>
    <t>DRPL-10</t>
  </si>
  <si>
    <t>Has the Disaster Recovery Plan been tested in the last year?  Please provide a summary of the results in Additional Information (including actual recovery time).</t>
  </si>
  <si>
    <t>After disaster recovery is initiated, it takes about 10 minutes for the automated procedure to fully restore. After that, the API gateway configuration is updated. This is a manual porcess that takes about 5 miutes per affected region. We test anually in the summer.</t>
  </si>
  <si>
    <t>DRPL-11</t>
  </si>
  <si>
    <t>Do the documented test results identify your organizations actual recovery time capabilities for technology and facilities?</t>
  </si>
  <si>
    <t>DRPL-12</t>
  </si>
  <si>
    <t xml:space="preserve">Are all components of the DRP reviewed at least annually and updated as needed to reflect change? </t>
  </si>
  <si>
    <t>As part of the review process, we run through a trial of the documented disaster recovery process with all necessicary personel. The DRP documnet is updated if the process was not found to run smoothly after this trial. The Trial is repeated as needed until it is proven to run smoothly.</t>
  </si>
  <si>
    <t>DRPL-13</t>
  </si>
  <si>
    <t>Do you carry cyber-risk insurance to protect against unforeseen service outages, data that is lost or stolen, and security incidents?</t>
  </si>
  <si>
    <t>The company is too small to warrant insurance at this stage. Because we don't store learning data, we have deamed the risk to be very low.</t>
  </si>
  <si>
    <t>FIDP-01</t>
  </si>
  <si>
    <t>Are you utilizing a web application firewall (WAF)?</t>
  </si>
  <si>
    <t>We have a WAF in the USA region that covers OWASP top 10.</t>
  </si>
  <si>
    <t>FIDP-02</t>
  </si>
  <si>
    <t>Are you utilizing a stateful packet inspection (SPI) firewall?</t>
  </si>
  <si>
    <t>Google Cloud has strict firewall rules the previent unauthorized trafic types from reaching our containers. However, because LTIAAS does not use sessions, an SPI firewall is not applicable.</t>
  </si>
  <si>
    <t>FIDP-03</t>
  </si>
  <si>
    <t>State and describe who has the authority to change firewall rules?</t>
  </si>
  <si>
    <t>CEO only</t>
  </si>
  <si>
    <t>Ensure that all parts of FIDP-03 are clearly stated in your response.</t>
  </si>
  <si>
    <t>FIDP-04</t>
  </si>
  <si>
    <t>Do you have a documented policy for firewall change requests?</t>
  </si>
  <si>
    <t>The firewall policy is here: https://ltiaas.com/compliance/Comprehensive_IT_Security_Policy.pdf page 40. We have a firewall change request form that must be completed and recorded for every firewall change. The form lists the change requested and checks/review that must be done before the change is implemented.</t>
  </si>
  <si>
    <t>FIDP-05</t>
  </si>
  <si>
    <t>Have you implemented an Intrusion Detection System (network-based)?</t>
  </si>
  <si>
    <r>
      <rPr>
        <rFont val="Verdana"/>
        <color rgb="FF000000"/>
        <sz val="12.0"/>
      </rPr>
      <t xml:space="preserve">From </t>
    </r>
    <r>
      <rPr>
        <rFont val="Verdana"/>
        <color rgb="FF1155CC"/>
        <sz val="12.0"/>
        <u/>
      </rPr>
      <t>https://firebase.google.com/terms/data-processing-terms:</t>
    </r>
    <r>
      <rPr>
        <rFont val="Verdana"/>
        <color rgb="FF000000"/>
        <sz val="12.0"/>
      </rPr>
      <t xml:space="preserve"> Google employs multiple layers of network devices and intrusion detection to protect its external attack surface. Google considers potential attack vectors and incorporates appropriate purpose built technologies into external facing systems.</t>
    </r>
  </si>
  <si>
    <t>FIDP-06</t>
  </si>
  <si>
    <t>Have you implemented an Intrusion Prevention System (network-based)?</t>
  </si>
  <si>
    <r>
      <rPr>
        <rFont val="Verdana"/>
        <color rgb="FF000000"/>
        <sz val="12.0"/>
      </rPr>
      <t xml:space="preserve">From </t>
    </r>
    <r>
      <rPr>
        <rFont val="Verdana"/>
        <color rgb="FF1155CC"/>
        <sz val="12.0"/>
        <u/>
      </rPr>
      <t>https://firebase.google.com/terms/data-processing-terms:</t>
    </r>
    <r>
      <rPr>
        <rFont val="Verdana"/>
        <color rgb="FF000000"/>
        <sz val="12.0"/>
      </rPr>
      <t xml:space="preserve"> Google employs multiple layers of network devices and intrusion detection to protect its external attack surface. Google considers potential attack vectors and incorporates appropriate purpose built technologies into external facing systems.</t>
    </r>
  </si>
  <si>
    <t>FIDP-07</t>
  </si>
  <si>
    <t>Do you employ host-based intrusion detection?</t>
  </si>
  <si>
    <r>
      <rPr>
        <rFont val="Verdana"/>
        <color rgb="FF000000"/>
        <sz val="12.0"/>
      </rPr>
      <t xml:space="preserve">From </t>
    </r>
    <r>
      <rPr>
        <rFont val="Verdana"/>
        <color rgb="FF1155CC"/>
        <sz val="12.0"/>
        <u/>
      </rPr>
      <t>https://firebase.google.com/terms/data-processing-terms:</t>
    </r>
    <r>
      <rPr>
        <rFont val="Verdana"/>
        <color rgb="FF000000"/>
        <sz val="12.0"/>
      </rPr>
      <t xml:space="preserve"> Google employs multiple layers of network devices and intrusion detection to protect its external attack surface. Google considers potential attack vectors and incorporates appropriate purpose built technologies into external facing systems.</t>
    </r>
  </si>
  <si>
    <t>FIDP-08</t>
  </si>
  <si>
    <t>Do you employ host-based intrusion prevention?</t>
  </si>
  <si>
    <r>
      <rPr>
        <rFont val="Verdana"/>
        <color rgb="FF000000"/>
        <sz val="12.0"/>
      </rPr>
      <t xml:space="preserve">From </t>
    </r>
    <r>
      <rPr>
        <rFont val="Verdana"/>
        <color rgb="FF1155CC"/>
        <sz val="12.0"/>
        <u/>
      </rPr>
      <t>https://firebase.google.com/terms/data-processing-terms:</t>
    </r>
    <r>
      <rPr>
        <rFont val="Verdana"/>
        <color rgb="FF000000"/>
        <sz val="12.0"/>
      </rPr>
      <t xml:space="preserve"> Google employs multiple layers of network devices and intrusion detection to protect its external attack surface. Google considers potential attack vectors and incorporates appropriate purpose built technologies into external facing systems.</t>
    </r>
  </si>
  <si>
    <t>FIDP-09</t>
  </si>
  <si>
    <t>Are you employing any next-generation persistent threat (NGPT) monitoring?</t>
  </si>
  <si>
    <t>We are are doing the following:
- Google Cloud has several layers of threat protection
- We use Google Cloud to actively monitor our services in real time and keep an audit history
- Before any container/code deployment, we have a vulnerability scanner that detects any open CVEs and code quality issues. These scanners are run regularly on deployed code/containers</t>
  </si>
  <si>
    <t>FIDP-10</t>
  </si>
  <si>
    <t>Do you monitor for intrusions on a 24x7x365 basis?</t>
  </si>
  <si>
    <t>FIDP-11</t>
  </si>
  <si>
    <t>Is intrusion monitoring performed internally or by a third-party service?</t>
  </si>
  <si>
    <t>third-party: Google Cloud</t>
  </si>
  <si>
    <t>In addition to stating your intrusion monitoring strategy, provide a brief summary of its implementation.</t>
  </si>
  <si>
    <t>FIDP-12</t>
  </si>
  <si>
    <t>Are audit logs available for all changes to the network, firewall, IDS, and IPS systems?</t>
  </si>
  <si>
    <t>Logs are captured and retained for 7 days via Google Cloud</t>
  </si>
  <si>
    <t>MAPP-01</t>
  </si>
  <si>
    <t>On which mobile operating systems is your software or service supported?</t>
  </si>
  <si>
    <t xml:space="preserve">Ensure that all supported operating systems are listed - be sure to provide version number, where relevant. </t>
  </si>
  <si>
    <t>MAPP-02</t>
  </si>
  <si>
    <t>Describe or provide a reference to the application's architecture and functionality.</t>
  </si>
  <si>
    <t>Ensure that all elements of MAPP-02  are clearly stated in your response. (i.e. (architecture AND functionality are defined)</t>
  </si>
  <si>
    <t>MAPP-03</t>
  </si>
  <si>
    <t>Is the application available from a trusted source (e.g., iTunes App Store, Android Market, BB World)?</t>
  </si>
  <si>
    <t>MAPP-04</t>
  </si>
  <si>
    <t>Does the application store, process, or transmit critical data?</t>
  </si>
  <si>
    <t>MAPP-05</t>
  </si>
  <si>
    <t>Is Institution's data encrypted in transport?</t>
  </si>
  <si>
    <t>MAPP-06</t>
  </si>
  <si>
    <t>Is Institution's data encrypted in storage? (e.g. disk encryption, at-rest)</t>
  </si>
  <si>
    <t>MAPP-07</t>
  </si>
  <si>
    <t>Does the mobile application support Kerberos, CAS, or Active Directory authentication?</t>
  </si>
  <si>
    <t>MAPP-08</t>
  </si>
  <si>
    <t>Will any of these systems be implemented on systems hosting the Institution's data?</t>
  </si>
  <si>
    <t>MAPP-09</t>
  </si>
  <si>
    <t>Does the application adhere to secure coding practices (e.g. OWASP, etc.)?</t>
  </si>
  <si>
    <t>MAPP-10</t>
  </si>
  <si>
    <t>Has the application been tested for vulnerabilities by a third party?</t>
  </si>
  <si>
    <t>MAPP-11</t>
  </si>
  <si>
    <t>State the party that performed the vulnerability test and the date it was conducted?</t>
  </si>
  <si>
    <t>Ensure that all elements of MAPP-11  are clearly stated in your response.</t>
  </si>
  <si>
    <t>PHYS-01</t>
  </si>
  <si>
    <t>Does your organization have physical security controls and policies in place?</t>
  </si>
  <si>
    <t>N/A, no physical office. We are work from home only</t>
  </si>
  <si>
    <t>PHYS-02</t>
  </si>
  <si>
    <t>Are employees allowed to take home Institution's data in any form?</t>
  </si>
  <si>
    <t>All customer data is stored on the cloud and not on employe computers. There is no need, nor facility to download customer data on to an employee computer.</t>
  </si>
  <si>
    <t>PHYS-03</t>
  </si>
  <si>
    <t>Are video monitoring feeds retained?</t>
  </si>
  <si>
    <t>PHYS-04</t>
  </si>
  <si>
    <t>Are video feeds monitored by datacenter staff?</t>
  </si>
  <si>
    <t>PHYS-05</t>
  </si>
  <si>
    <t>Are individuals required to sign in/out for installation and removal of equipment?</t>
  </si>
  <si>
    <t>PPPR-01</t>
  </si>
  <si>
    <t>Can you share the organization chart, mission statement, and policies for your information security unit?</t>
  </si>
  <si>
    <r>
      <rPr>
        <rFont val="Verdana"/>
        <color rgb="FF000000"/>
        <sz val="12.0"/>
      </rPr>
      <t xml:space="preserve">This is documented here: </t>
    </r>
    <r>
      <rPr>
        <rFont val="Verdana"/>
        <color rgb="FF1155CC"/>
        <sz val="12.0"/>
        <u/>
      </rPr>
      <t>https://ltiaas.com/compliance</t>
    </r>
  </si>
  <si>
    <t>PPPR-02</t>
  </si>
  <si>
    <t>Do you have a documented patch management process?</t>
  </si>
  <si>
    <r>
      <rPr>
        <rFont val="Verdana"/>
        <color rgb="FF000000"/>
        <sz val="12.0"/>
      </rPr>
      <t xml:space="preserve">This is documented here: </t>
    </r>
    <r>
      <rPr>
        <rFont val="Verdana"/>
        <color rgb="FF1155CC"/>
        <sz val="12.0"/>
        <u/>
      </rPr>
      <t>https://ltiaas.com/compliance</t>
    </r>
  </si>
  <si>
    <t>PPPR-03</t>
  </si>
  <si>
    <t>Can you accommodate encryption requirements using open standards?</t>
  </si>
  <si>
    <t>PPPR-04</t>
  </si>
  <si>
    <t>Have your developers been trained in secure coding techniques?</t>
  </si>
  <si>
    <t>PPPR-05</t>
  </si>
  <si>
    <t>Was your application developed using secure coding techniques?</t>
  </si>
  <si>
    <t>PPPR-06</t>
  </si>
  <si>
    <t>Do you subject your code to static code analysis and/or static application security testing prior to release?</t>
  </si>
  <si>
    <t>ESLint, Perttier, npm-audit, dependabot</t>
  </si>
  <si>
    <t>PPPR-07</t>
  </si>
  <si>
    <t>Do you have software testing processes (dynamic or static) that are established and followed?</t>
  </si>
  <si>
    <t>Testing is done in CI with coverage reports</t>
  </si>
  <si>
    <t>PPPR-08</t>
  </si>
  <si>
    <t>Are information security principles designed into the product lifecycle?</t>
  </si>
  <si>
    <t>Every customer has an internal and external key that needs to be presented to access data in all application segments</t>
  </si>
  <si>
    <t>PPPR-09</t>
  </si>
  <si>
    <t>Do you have a documented systems development life cycle (SDLC)?</t>
  </si>
  <si>
    <r>
      <rPr>
        <rFont val="Verdana"/>
        <color rgb="FF000000"/>
        <sz val="12.0"/>
      </rPr>
      <t xml:space="preserve">We follow the standard 7-phase life cycle. It can be found here: </t>
    </r>
    <r>
      <rPr>
        <rFont val="Verdana"/>
        <color rgb="FF1155CC"/>
        <sz val="12.0"/>
        <u/>
      </rPr>
      <t>https://ltiaas.com/compliance</t>
    </r>
  </si>
  <si>
    <t>PPPR-10</t>
  </si>
  <si>
    <t>Do you have a formal incident response plan?</t>
  </si>
  <si>
    <t>The plan consists of 4 sections: GOVERNANCE, TRIAGE AND SCOPING, EXECUTION, and REMEDIATION AND POST-INCIDENT REVIEW. The plan puts forth roles and responsibilities to work through these sections for every incident.</t>
  </si>
  <si>
    <t>PPPR-11</t>
  </si>
  <si>
    <t>Will you comply with applicable breach notification laws?</t>
  </si>
  <si>
    <t>PPPR-12</t>
  </si>
  <si>
    <t>Will you comply with the Institution's IT policies with regards to user privacy and data protection?</t>
  </si>
  <si>
    <t>PPPR-13</t>
  </si>
  <si>
    <t>Is your company subject to Institution's Data Zone laws and regulations?</t>
  </si>
  <si>
    <t>PPPR-14</t>
  </si>
  <si>
    <t>Do you perform background screenings or multi-state background checks on all employees prior to their first day of work?</t>
  </si>
  <si>
    <t>PPPR-15</t>
  </si>
  <si>
    <t xml:space="preserve">Do you require new employees to fill out agreements and review policies?  </t>
  </si>
  <si>
    <t>PPPR-16</t>
  </si>
  <si>
    <t>Do you have documented information security policy?</t>
  </si>
  <si>
    <r>
      <rPr>
        <rFont val="Verdana"/>
        <color rgb="FF000000"/>
        <sz val="12.0"/>
      </rPr>
      <t xml:space="preserve">This is documented here: </t>
    </r>
    <r>
      <rPr>
        <rFont val="Verdana"/>
        <color rgb="FF1155CC"/>
        <sz val="12.0"/>
        <u/>
      </rPr>
      <t>https://ltiaas.com/compliance/Comprehensive_IT_Security_Policy.pdf</t>
    </r>
  </si>
  <si>
    <t>PPPR-17</t>
  </si>
  <si>
    <t>Do you have an information security awareness program?</t>
  </si>
  <si>
    <t>Required annual training</t>
  </si>
  <si>
    <t>PPPR-18</t>
  </si>
  <si>
    <t>Is security awareness training mandatory for all employees?</t>
  </si>
  <si>
    <r>
      <rPr>
        <rFont val="Verdana"/>
        <color rgb="FF000000"/>
        <sz val="12.0"/>
      </rPr>
      <t xml:space="preserve">This is documented here: </t>
    </r>
    <r>
      <rPr>
        <rFont val="Verdana"/>
        <color rgb="FF1155CC"/>
        <sz val="12.0"/>
        <u/>
      </rPr>
      <t>https://ltiaas.com/compliance/Comprehensive_IT_Security_Policy.pdf</t>
    </r>
  </si>
  <si>
    <t>PPPR-19</t>
  </si>
  <si>
    <t>Do you have process and procedure(s) documented, and currently followed, that require a review and update of the access-list(s) for privileged accounts?</t>
  </si>
  <si>
    <r>
      <rPr>
        <rFont val="Verdana"/>
        <color rgb="FF000000"/>
        <sz val="12.0"/>
      </rPr>
      <t xml:space="preserve">This is documented here: </t>
    </r>
    <r>
      <rPr>
        <rFont val="Verdana"/>
        <color rgb="FF1155CC"/>
        <sz val="12.0"/>
        <u/>
      </rPr>
      <t>https://ltiaas.com/compliance/Comprehensive_IT_Security_Policy.pdf</t>
    </r>
  </si>
  <si>
    <t>PPPR-20</t>
  </si>
  <si>
    <t>Do you have documented, and currently implemented, internal audit processes and procedures?</t>
  </si>
  <si>
    <r>
      <rPr>
        <rFont val="Verdana"/>
        <color rgb="FF000000"/>
        <sz val="12.0"/>
      </rPr>
      <t xml:space="preserve">This is documented here: </t>
    </r>
    <r>
      <rPr>
        <rFont val="Verdana"/>
        <color rgb="FF1155CC"/>
        <sz val="12.0"/>
        <u/>
      </rPr>
      <t>https://ltiaas.com/compliance/Comprehensive_IT_Security_Policy.pdf</t>
    </r>
  </si>
  <si>
    <t>PROD-01</t>
  </si>
  <si>
    <t>Do you incorporate customer feedback into security feature requests?</t>
  </si>
  <si>
    <t>Customer feedback is accepted via email</t>
  </si>
  <si>
    <t>PROD-02</t>
  </si>
  <si>
    <t>Can you provide an evaluation site to the institution for testing?</t>
  </si>
  <si>
    <t>Yes, we allow our customers to have multiple accounts and any can be used for testing</t>
  </si>
  <si>
    <t>QLAS-01</t>
  </si>
  <si>
    <t>Provide a general summary of your Quality Assurance program.</t>
  </si>
  <si>
    <t>We don't have a formailly documented one, other than our code quality enforceemnts</t>
  </si>
  <si>
    <t>Provide a valid URL to your Quality Assurance program or submit it along with this fully-populated HECVAT.</t>
  </si>
  <si>
    <t>QLAS-02</t>
  </si>
  <si>
    <t>Do you comply with ISO 9001?</t>
  </si>
  <si>
    <t>This is unknown, so assumned no</t>
  </si>
  <si>
    <t>QLAS-03</t>
  </si>
  <si>
    <t>Will your company provide quality and performance metrics in relation to the scope of services and performance expectations for the services you are offering?</t>
  </si>
  <si>
    <t>We are happy to provide any metrics identified as important to our customers</t>
  </si>
  <si>
    <t>QLAS-04</t>
  </si>
  <si>
    <t>Have you supplied products and/or services to the Institution (or its Campuses) in the last five years?</t>
  </si>
  <si>
    <t>QLAS-05</t>
  </si>
  <si>
    <t>Do you have a program to keep your customers abreast of higher education and/or industry issues?</t>
  </si>
  <si>
    <t>We have an email system to notify users of industry opdates that may impact them</t>
  </si>
  <si>
    <t>SYST-01</t>
  </si>
  <si>
    <t>Are systems that support this service managed via a separate management network?</t>
  </si>
  <si>
    <t>Yes, Google Cloud Run manages this infrastructure for us.</t>
  </si>
  <si>
    <t>SYST-02</t>
  </si>
  <si>
    <t>Do you have an implemented system configuration management process? (e.g. secure "gold" images, etc.)</t>
  </si>
  <si>
    <t>All images are stored in a container registery that is secured by LTIAAS. All configurations are stired on our cluster and revision controlled.</t>
  </si>
  <si>
    <t>SYST-03</t>
  </si>
  <si>
    <t>Are employee mobile devices managed by your company's Mobile Device Management (MDM) platform?</t>
  </si>
  <si>
    <t>We do not allow employee mobille devices</t>
  </si>
  <si>
    <t>SYST-04</t>
  </si>
  <si>
    <t>Do you have a systems management and configuration strategy that encompasses servers, appliances, and mobile devices (company and employee owned)?</t>
  </si>
  <si>
    <r>
      <rPr>
        <rFont val="Verdana"/>
        <color rgb="FF000000"/>
        <sz val="12.0"/>
      </rPr>
      <t xml:space="preserve">This is documented here: </t>
    </r>
    <r>
      <rPr>
        <rFont val="Verdana"/>
        <color rgb="FF1155CC"/>
        <sz val="12.0"/>
        <u/>
      </rPr>
      <t>https://ltiaas.com/compliance</t>
    </r>
  </si>
  <si>
    <t>VULN-01</t>
  </si>
  <si>
    <r>
      <rPr>
        <rFont val="Verdana"/>
        <color rgb="FF000000"/>
        <sz val="11.0"/>
      </rPr>
      <t xml:space="preserve">Are your </t>
    </r>
    <r>
      <rPr>
        <rFont val="Verdana"/>
        <i/>
        <color rgb="FF000000"/>
        <sz val="11.0"/>
      </rPr>
      <t>applications</t>
    </r>
    <r>
      <rPr>
        <rFont val="Verdana"/>
        <color rgb="FF000000"/>
        <sz val="11.0"/>
      </rPr>
      <t xml:space="preserve"> scanned externally for vulnerabilities?</t>
    </r>
  </si>
  <si>
    <t>This type of scanning happens annually</t>
  </si>
  <si>
    <t>VULN-02</t>
  </si>
  <si>
    <t>Have your applications had an external vulnerability assessment in the last year?</t>
  </si>
  <si>
    <t>Last done in June, 2021</t>
  </si>
  <si>
    <t>VULN-03</t>
  </si>
  <si>
    <t>Are your applications scanned for vulnerabilities prior to new releases?</t>
  </si>
  <si>
    <t>They are scaned via our CI pipeline</t>
  </si>
  <si>
    <t>VULN-04</t>
  </si>
  <si>
    <r>
      <rPr>
        <rFont val="Verdana"/>
        <color rgb="FF000000"/>
        <sz val="11.0"/>
      </rPr>
      <t xml:space="preserve">Are your </t>
    </r>
    <r>
      <rPr>
        <rFont val="Verdana"/>
        <i/>
        <color rgb="FF000000"/>
        <sz val="11.0"/>
      </rPr>
      <t>systems</t>
    </r>
    <r>
      <rPr>
        <rFont val="Verdana"/>
        <color rgb="FF000000"/>
        <sz val="11.0"/>
      </rPr>
      <t xml:space="preserve"> scanned externally for vulnerabilities?</t>
    </r>
  </si>
  <si>
    <r>
      <rPr>
        <rFont val="Verdana"/>
        <color rgb="FF000000"/>
        <sz val="12.0"/>
      </rPr>
      <t xml:space="preserve">From </t>
    </r>
    <r>
      <rPr>
        <rFont val="Verdana"/>
        <color rgb="FF1155CC"/>
        <sz val="12.0"/>
        <u/>
      </rPr>
      <t>https://firebase.google.com/terms/data-processing-terms:</t>
    </r>
    <r>
      <rPr>
        <rFont val="Verdana"/>
        <color rgb="FF000000"/>
        <sz val="12.0"/>
      </rPr>
      <t xml:space="preserve"> Google employs multiple layers of network devices and intrusion detection to protect its external attack surface. Google considers potential attack vectors and incorporates appropriate purpose built technologies into external facing systems.</t>
    </r>
  </si>
  <si>
    <t>VULN-05</t>
  </si>
  <si>
    <t>Have your systems had an external vulnerability assessment in the last year?</t>
  </si>
  <si>
    <t>Last done in MArch, 2023</t>
  </si>
  <si>
    <t>VULN-06</t>
  </si>
  <si>
    <t>Describe or provide a reference to the tool(s) used to scan for vulnerabilities in your applications and systems.</t>
  </si>
  <si>
    <t>Trivy and Qualys</t>
  </si>
  <si>
    <t>Ensure that all elements of VULN-06 are clearly stated in your response.</t>
  </si>
  <si>
    <t>VULN-07</t>
  </si>
  <si>
    <t>Will you provide results of security scans to the Institution?</t>
  </si>
  <si>
    <t>Upon request</t>
  </si>
  <si>
    <t>VULN-08</t>
  </si>
  <si>
    <t>Describe or provide a reference to how you monitor for and protect against common web application security vulnerabilities (e.g. SQL injection, XSS, XSRF, etc.).</t>
  </si>
  <si>
    <t>We sanitize all queries and have a CORS policy that is as strict as possible for our application</t>
  </si>
  <si>
    <t>Ensure that all elements of VULN-08 are clearly stated in your response.</t>
  </si>
  <si>
    <t>VULN-09</t>
  </si>
  <si>
    <t>Will you allow the institution to perform its own security testing of your systems and/or application provided that testing is performed at a mutually agreed upon time and date?</t>
  </si>
  <si>
    <t>This can be done by testing our API endpoints and sorrounding systems</t>
  </si>
  <si>
    <t>HIPA-01</t>
  </si>
  <si>
    <t>Do your workforce members receive regular training related to the HIPAA Privacy and Security Rules and the HITECH Act?</t>
  </si>
  <si>
    <t>Refer to HIPAA regulations documentation for supplemental guidance in this section.</t>
  </si>
  <si>
    <t>HIPA-02</t>
  </si>
  <si>
    <t>Do you monitor or receive information regarding changes in HIPAA regulations?</t>
  </si>
  <si>
    <t>HIPA-03</t>
  </si>
  <si>
    <t>Has your organization designated HIPAA Privacy and Security officers as required by the Rules?</t>
  </si>
  <si>
    <t>HIPA-04</t>
  </si>
  <si>
    <t>Do you comply with the requirements of the Health Information Technology for Economic and Clinical Health Act (HITECH)?</t>
  </si>
  <si>
    <t>HIPA-05</t>
  </si>
  <si>
    <t>Do you have an incident response process and reporting in place to investigate any potential incidents and report actual incidents?</t>
  </si>
  <si>
    <t>HIPA-06</t>
  </si>
  <si>
    <t>Do you have a plan to comply with the Breach Notification requirements if there is a breach of data?</t>
  </si>
  <si>
    <t>HIPA-07</t>
  </si>
  <si>
    <t>Have you conducted a risk analysis as required under the Security Rule?</t>
  </si>
  <si>
    <t>HIPA-08</t>
  </si>
  <si>
    <t>Have you identified areas of risks?</t>
  </si>
  <si>
    <t>HIPA-09</t>
  </si>
  <si>
    <t>Have you taken actions to mitigate the identified risks?</t>
  </si>
  <si>
    <t>HIPA-10</t>
  </si>
  <si>
    <t>Does your application require user and system administrator password changes at a frequency no greater than 90 days?</t>
  </si>
  <si>
    <t>HIPA-11</t>
  </si>
  <si>
    <t>Does your application require a user to set their own password after an administrator reset or on first use of the account?</t>
  </si>
  <si>
    <t>HIPA-12</t>
  </si>
  <si>
    <t xml:space="preserve">Does your application lock-out an account after a number of failed login attempts? </t>
  </si>
  <si>
    <t>HIPA-13</t>
  </si>
  <si>
    <t>Does your application automatically lock or log-out an account after a period of inactivity?</t>
  </si>
  <si>
    <t>HIPA-14</t>
  </si>
  <si>
    <t>Are passwords visible in plain text, whether when stored or entered, including service level accounts (i.e. database accounts, etc.)?</t>
  </si>
  <si>
    <t>HIPA-15</t>
  </si>
  <si>
    <t>If the application is institution-hosted, can all service level and administrative account passwords be changed by the institution?</t>
  </si>
  <si>
    <t>HIPA-16</t>
  </si>
  <si>
    <t>Does your application provide the ability to define user access levels?</t>
  </si>
  <si>
    <t>HIPA-17</t>
  </si>
  <si>
    <t>Does your application support varying levels of access to administrative tasks defined individually per user?</t>
  </si>
  <si>
    <t>HIPA-18</t>
  </si>
  <si>
    <t>Does your application support varying levels of access to records based on user ID?</t>
  </si>
  <si>
    <t>HIPA-19</t>
  </si>
  <si>
    <t>Is there a limit to the number of groups a user can be assigned?</t>
  </si>
  <si>
    <t>HIPA-20</t>
  </si>
  <si>
    <t>Do accounts used for vendor supplied remote support abide by the same authentication policies and access logging as the rest of the system?</t>
  </si>
  <si>
    <t>HIPA-21</t>
  </si>
  <si>
    <t xml:space="preserve">Does the application log record access including specific user, date/time of access, and originating IP or device? </t>
  </si>
  <si>
    <t>HIPA-22</t>
  </si>
  <si>
    <t>Does the application log administrative activity, such user account access changes and password changes, including specific user, date/time of changes, and originating IP or device?</t>
  </si>
  <si>
    <t>HIPA-23</t>
  </si>
  <si>
    <t>How long does the application keep access/change logs?</t>
  </si>
  <si>
    <t>HIPA-24</t>
  </si>
  <si>
    <t xml:space="preserve">Can the application logs be archived? </t>
  </si>
  <si>
    <t>HIPA-25</t>
  </si>
  <si>
    <t xml:space="preserve">Can the application logs be saved externally? </t>
  </si>
  <si>
    <t>HIPA-26</t>
  </si>
  <si>
    <t>Does your data backup and retention policies and practices meet HIPAA requirements?</t>
  </si>
  <si>
    <t>HIPA-27</t>
  </si>
  <si>
    <t>Do you have a disaster recovery plan and emergency mode operation plan?</t>
  </si>
  <si>
    <t>HIPA-28</t>
  </si>
  <si>
    <t>Have the policies/plans mentioned above been tested?</t>
  </si>
  <si>
    <t>HIPA-29</t>
  </si>
  <si>
    <t>Can you provide a HIPAA compliance attestation document?</t>
  </si>
  <si>
    <t>HIPA-30</t>
  </si>
  <si>
    <t>Are you willing to enter into a Business Associate Agreement (BAA)?</t>
  </si>
  <si>
    <t>HIPA-31</t>
  </si>
  <si>
    <t>Have you entered into a BAA with all subcontractors who may have access to protected health information (PHI)?</t>
  </si>
  <si>
    <t>PCID-01</t>
  </si>
  <si>
    <t>Do your systems or products store, process, or transmit cardholder (payment/credit/debt card) data?</t>
  </si>
  <si>
    <t>Refer to PCI DSS Security Standards for supplemental guidance in this section</t>
  </si>
  <si>
    <t>PCID-02</t>
  </si>
  <si>
    <t>Are you compliant with the Payment Card Industry Data Security Standard (PCI DSS)?</t>
  </si>
  <si>
    <t>PCID-03</t>
  </si>
  <si>
    <t>Do you have a current, executed within the past year, Attestation of Compliance (AoC) or Report on Compliance (RoC)?</t>
  </si>
  <si>
    <t>PCID-04</t>
  </si>
  <si>
    <t>Are you classified as a service provider?</t>
  </si>
  <si>
    <t>PCID-05</t>
  </si>
  <si>
    <t xml:space="preserve">Are you on the list of VISA approved service providers? </t>
  </si>
  <si>
    <t>PCID-06</t>
  </si>
  <si>
    <t>Are you classified as a merchant?  If so, what level (1, 2, 3, 4)?</t>
  </si>
  <si>
    <t>PCID-07</t>
  </si>
  <si>
    <t>Describe the architecture employed by the system to verify and authorize credit card transactions.</t>
  </si>
  <si>
    <t>PCID-08</t>
  </si>
  <si>
    <t xml:space="preserve">What payment processors/gateways does the system support? </t>
  </si>
  <si>
    <t>PCID-09</t>
  </si>
  <si>
    <t>Can the application be installed in a PCI DSS compliant manner ?</t>
  </si>
  <si>
    <t>PCID-10</t>
  </si>
  <si>
    <t xml:space="preserve">Is the application listed as an approved PA-DSS application? </t>
  </si>
  <si>
    <t>PCID-11</t>
  </si>
  <si>
    <t>Does the system or products use a third party to collect, store, process, or transmit cardholder (payment/credit/debt card) data?</t>
  </si>
  <si>
    <t>PCID-12</t>
  </si>
  <si>
    <t xml:space="preserve">Include documentation describing the systems' abilities to comply with the PCI DSS and any features or capabilities of the system that must be added or changed in order to operate in compliance with the standards. </t>
  </si>
  <si>
    <t>Higher Education Community Vendor Assessment Tool (HECVAT) - Full - Standards Crosswalk</t>
  </si>
  <si>
    <t>CIS Critical Security Controls v6.1</t>
  </si>
  <si>
    <t>HIPAA</t>
  </si>
  <si>
    <t>ISO 27002:2013</t>
  </si>
  <si>
    <t>NIST Cybersecurity Framework</t>
  </si>
  <si>
    <t>NIST SP 800-171r1</t>
  </si>
  <si>
    <t>NIST SP 800-53r4</t>
  </si>
  <si>
    <t>PCI DSS</t>
  </si>
  <si>
    <t>CSC 13</t>
  </si>
  <si>
    <t>Discovery</t>
  </si>
  <si>
    <t>18.1.1</t>
  </si>
  <si>
    <t>ID.GV-3</t>
  </si>
  <si>
    <t>RA-2</t>
  </si>
  <si>
    <t>CSC 18</t>
  </si>
  <si>
    <t>IA-2, IA-3, CM-3, SI-2</t>
  </si>
  <si>
    <t>ID.AM-6, PR.AT-3</t>
  </si>
  <si>
    <t>CSC 10</t>
  </si>
  <si>
    <t>17.1.2</t>
  </si>
  <si>
    <t>PR.IP-9</t>
  </si>
  <si>
    <t>AU-7, AU-9, IR-4</t>
  </si>
  <si>
    <t>CA-5, PL-2</t>
  </si>
  <si>
    <t>PCI Scope, Discovery</t>
  </si>
  <si>
    <t>CSC 14</t>
  </si>
  <si>
    <t>PCI Scope</t>
  </si>
  <si>
    <t>15.2.1</t>
  </si>
  <si>
    <t>SA-9</t>
  </si>
  <si>
    <t>PE-2, PE-3, PE-5, PE-11, PE-13, PE-14, SA-9</t>
  </si>
  <si>
    <t>12.1, Scope</t>
  </si>
  <si>
    <t>§164.308(a)(1)(i)</t>
  </si>
  <si>
    <t>18.1.4</t>
  </si>
  <si>
    <t>12.8, 12.5</t>
  </si>
  <si>
    <t>14.2.1</t>
  </si>
  <si>
    <t xml:space="preserve">SA-3, SA-15, SC-2, PM-2, PM-10, SI-5,PM-3 </t>
  </si>
  <si>
    <t>15.1.3</t>
  </si>
  <si>
    <t>ID.AM-6, PR-AT-3</t>
  </si>
  <si>
    <t>3.8.2</t>
  </si>
  <si>
    <t>MP-2, RA-3</t>
  </si>
  <si>
    <t>PS-3</t>
  </si>
  <si>
    <t>PS-5</t>
  </si>
  <si>
    <t>9.1.2</t>
  </si>
  <si>
    <t>3.1.2, 3.1.3</t>
  </si>
  <si>
    <t>AC-4</t>
  </si>
  <si>
    <t>9.2.6</t>
  </si>
  <si>
    <t>3.1.2</t>
  </si>
  <si>
    <t>9</t>
  </si>
  <si>
    <t>MP-2</t>
  </si>
  <si>
    <t>10</t>
  </si>
  <si>
    <t>3.1.2, 3.1.19, 3.8.2</t>
  </si>
  <si>
    <t>ID.AM-5</t>
  </si>
  <si>
    <t>CSC 2, CSC 3</t>
  </si>
  <si>
    <t>11.2.6</t>
  </si>
  <si>
    <t>PR.AC-3, PR.MA-2</t>
  </si>
  <si>
    <t>AC-17; NIST SP 800-46</t>
  </si>
  <si>
    <t>7.x</t>
  </si>
  <si>
    <t>CSC16</t>
  </si>
  <si>
    <t>9.1.1</t>
  </si>
  <si>
    <t>PR.AC-4, PR.PT-3</t>
  </si>
  <si>
    <t>3.4.9</t>
  </si>
  <si>
    <t>CM-11</t>
  </si>
  <si>
    <t>CSC 12</t>
  </si>
  <si>
    <t>PR.PT-3</t>
  </si>
  <si>
    <t>3.1.12, 3.1.13, 3.1.14, 3.1.14, 3.1.15, 3.1.8, 3.1.20, 3.7.5, 3.8.2, 3.13.7</t>
  </si>
  <si>
    <t>AC-3, CM-7; NIST SP 800-46</t>
  </si>
  <si>
    <t>CSC 2</t>
  </si>
  <si>
    <t>12.5.1</t>
  </si>
  <si>
    <t>12.8, 4.2</t>
  </si>
  <si>
    <t>ID.AM-2</t>
  </si>
  <si>
    <t>12.1.1</t>
  </si>
  <si>
    <t>ID.AM-1, ID.AM-2, ID.AM-4</t>
  </si>
  <si>
    <t>CA-9, SC-4</t>
  </si>
  <si>
    <t>12.1.4</t>
  </si>
  <si>
    <t>CSC 7</t>
  </si>
  <si>
    <t>9.2.3, 12.1.4</t>
  </si>
  <si>
    <t>3.1.4</t>
  </si>
  <si>
    <t>AC-5</t>
  </si>
  <si>
    <t>12.x</t>
  </si>
  <si>
    <t>CSC 5</t>
  </si>
  <si>
    <t>3.1.1, 3.1.5, 3.1.6, 3.7.1, 3.7.2</t>
  </si>
  <si>
    <t>AC-2, AC-3, AC-6, MA-2, MA-3</t>
  </si>
  <si>
    <t>7.x, 8.x</t>
  </si>
  <si>
    <t>PR.AC-4</t>
  </si>
  <si>
    <t>CSC 16</t>
  </si>
  <si>
    <t>9.2.3, 9.3.1, 9.4.3</t>
  </si>
  <si>
    <t>PR.AC-1</t>
  </si>
  <si>
    <t>3.5.6</t>
  </si>
  <si>
    <t>IA-4</t>
  </si>
  <si>
    <t>8.x</t>
  </si>
  <si>
    <t>3.5.7</t>
  </si>
  <si>
    <t>IA-5(1)</t>
  </si>
  <si>
    <t>3.5.5, 3.5.8</t>
  </si>
  <si>
    <t>2.1, 8.x</t>
  </si>
  <si>
    <t>9.1.1, 9.2.3, 9.3.1, 9.4.3</t>
  </si>
  <si>
    <t>3.5.1</t>
  </si>
  <si>
    <t>IA-2, IA-5</t>
  </si>
  <si>
    <t>3.5.10</t>
  </si>
  <si>
    <t>3.5.2, 3.5.3</t>
  </si>
  <si>
    <t>IA-5</t>
  </si>
  <si>
    <t>9.4.3</t>
  </si>
  <si>
    <t>PR.AC-1, PR.AC-4</t>
  </si>
  <si>
    <t>3.1.1</t>
  </si>
  <si>
    <t>CSC 6</t>
  </si>
  <si>
    <t>12.4</t>
  </si>
  <si>
    <t>PR.PT-1</t>
  </si>
  <si>
    <t>3.1.7, 3.3.1</t>
  </si>
  <si>
    <t>AC-6(1,3,9), AU-2, AU-2(3), AU-3, AU-7, AU-9(4), AU-12, NIST 800-92</t>
  </si>
  <si>
    <t>10.1, 10.2, 10.3, 10.5, 10.6, 10.7</t>
  </si>
  <si>
    <t>3.1.7, 3.3.2, 3.3.3, 3.3.4, 3.3.5, 3.4.3, 3.7.1, 3.7.6, 3.10.4, 3.10.5</t>
  </si>
  <si>
    <t>AU-2(3), AU-6, AU-12, AC-6(9), CM-3, MA-2, MA-5, PE-3</t>
  </si>
  <si>
    <t>10.1, 10.2, 10.3, 10.5, 10.6, 10.7, 9.x</t>
  </si>
  <si>
    <t>3.3.8, 3.3.9</t>
  </si>
  <si>
    <t>AU-9</t>
  </si>
  <si>
    <t>17.1.1</t>
  </si>
  <si>
    <t>3.12.2</t>
  </si>
  <si>
    <t>AU-7, AU-9, IR-4, AC-5, CP-4, CP-10; NIST SP 800-34</t>
  </si>
  <si>
    <t>AC-5, CP-4, CP-10; NIST SP 800-34</t>
  </si>
  <si>
    <t>17</t>
  </si>
  <si>
    <t>17.1.3</t>
  </si>
  <si>
    <t>7.2.2, 17.1.3</t>
  </si>
  <si>
    <t>3.2.1, 3.2.2</t>
  </si>
  <si>
    <t>AT-3, AC-5, CP-4, CP-10; NIST SP 800-34</t>
  </si>
  <si>
    <t>7.2.2, 16.1.1, 17.1.3</t>
  </si>
  <si>
    <t>17.2.1</t>
  </si>
  <si>
    <t>12.1.2</t>
  </si>
  <si>
    <t>PR.IP-3</t>
  </si>
  <si>
    <t>3.4.3, 3.4.4</t>
  </si>
  <si>
    <t>CM-3, CM-4, CM-5</t>
  </si>
  <si>
    <t>6.4, 6.4.5, 6.4.5.1, 6.4.5.2</t>
  </si>
  <si>
    <t>PR.IP-3, PR.DS-7</t>
  </si>
  <si>
    <t>3.4.3, 3.4.4, 3.4.5</t>
  </si>
  <si>
    <t>6.4, 12.8, 12.9</t>
  </si>
  <si>
    <t>12.1, 12.8</t>
  </si>
  <si>
    <t>PR.DS-6</t>
  </si>
  <si>
    <t>3.4.4</t>
  </si>
  <si>
    <t>3.14.4</t>
  </si>
  <si>
    <t>12.6.1</t>
  </si>
  <si>
    <t>12.1, 12.8, 6.2</t>
  </si>
  <si>
    <t>§164.308(a)(1)(ii)(B)</t>
  </si>
  <si>
    <t>12.2, 12.8</t>
  </si>
  <si>
    <t>12.1, 12.2, 12.8</t>
  </si>
  <si>
    <t>12.10, 12.8, 6.4</t>
  </si>
  <si>
    <t>PR.AC-2, PR.IP-5</t>
  </si>
  <si>
    <t>3.1.3, 3.8.1</t>
  </si>
  <si>
    <t>AC-4, MP-2, MP-4</t>
  </si>
  <si>
    <t>3.1.22</t>
  </si>
  <si>
    <t>AC-22</t>
  </si>
  <si>
    <t>12.8, 9.x</t>
  </si>
  <si>
    <t>10.1.1</t>
  </si>
  <si>
    <t>PR.DS-2</t>
  </si>
  <si>
    <t>12.8, 4.1</t>
  </si>
  <si>
    <t>8.2.3, 10.1.1</t>
  </si>
  <si>
    <t>PR.DS-1</t>
  </si>
  <si>
    <t>3.1.19, 3.8.1</t>
  </si>
  <si>
    <t>MP-2, AC-19(5)</t>
  </si>
  <si>
    <t>3.8.6, 3.13.11</t>
  </si>
  <si>
    <t>13.2</t>
  </si>
  <si>
    <t>PE-2, PE-3, PE-5, MP-5</t>
  </si>
  <si>
    <t>CSC 1</t>
  </si>
  <si>
    <t>3.8.1</t>
  </si>
  <si>
    <t>8.1.4</t>
  </si>
  <si>
    <t>12.3.1</t>
  </si>
  <si>
    <t>8.1.2</t>
  </si>
  <si>
    <t>CAC 13</t>
  </si>
  <si>
    <t>PR.IP-4</t>
  </si>
  <si>
    <t>3.8.9</t>
  </si>
  <si>
    <t>CP-9</t>
  </si>
  <si>
    <t>9.x</t>
  </si>
  <si>
    <t>PR.DS-1, PR.IP-4</t>
  </si>
  <si>
    <t>10.1.2</t>
  </si>
  <si>
    <t>3.13.10</t>
  </si>
  <si>
    <t>SC-28, SC-13, FIPS PUB 140-2</t>
  </si>
  <si>
    <t>ID.AM-1, ID.AM-2, PR.IP-9</t>
  </si>
  <si>
    <t>3.8.1, 3.8.9</t>
  </si>
  <si>
    <t>3.8.1, 3.8.5, 3.8.9</t>
  </si>
  <si>
    <t>CP-9, MP-5</t>
  </si>
  <si>
    <t>8.3.1</t>
  </si>
  <si>
    <t>PR.DS-3</t>
  </si>
  <si>
    <t>3.7.1, 3.7.2, 3.8.3</t>
  </si>
  <si>
    <t>CP-9 MP-6, NIST SP 800-60, NIST SP 800-88, AC-2, AC-6, IA-4, PM-2, PM-10, SI-5, MA-2, MA-3, MP-6</t>
  </si>
  <si>
    <t>8.3.1, 18.1.1</t>
  </si>
  <si>
    <t>3.7.3, 3.8.3,</t>
  </si>
  <si>
    <t>AC-2, AC-6, IA-4, PM-2, PM-10, SI-5, MA-2</t>
  </si>
  <si>
    <t>PR.DS-3, ID.GV-3</t>
  </si>
  <si>
    <t>SI-12, AC-2, AC-6, IA-4, PM-2, PM-10, SI-5, MA-2</t>
  </si>
  <si>
    <t>3.8.1, 3.8.2</t>
  </si>
  <si>
    <t>AC-2, AC-6, IA-4, PM-2, PM-10, SI-5</t>
  </si>
  <si>
    <t>CSC 13, CSC 14</t>
  </si>
  <si>
    <t>14.2.5</t>
  </si>
  <si>
    <t>PR.DS-1, PR.DS-2</t>
  </si>
  <si>
    <t>11.1.1</t>
  </si>
  <si>
    <t>CSC 3</t>
  </si>
  <si>
    <t>CSC 3, CSC 14</t>
  </si>
  <si>
    <t>13.1.2</t>
  </si>
  <si>
    <t>PR.AC-2</t>
  </si>
  <si>
    <t>11.1.1, 11.1.2</t>
  </si>
  <si>
    <t>CSC 9</t>
  </si>
  <si>
    <t>PR.AC-5</t>
  </si>
  <si>
    <t>3.1.3</t>
  </si>
  <si>
    <t>11.2.1</t>
  </si>
  <si>
    <t>11.1.4</t>
  </si>
  <si>
    <t>PR.DS-4</t>
  </si>
  <si>
    <t>PE-2, PE-3, PE-5, PE-11, PE-13, PE-14</t>
  </si>
  <si>
    <t>16.1.1, 17.1.1</t>
  </si>
  <si>
    <t>CSC 10, CSC 12</t>
  </si>
  <si>
    <t>7.1.3</t>
  </si>
  <si>
    <t>3.6.2</t>
  </si>
  <si>
    <t>13.1.1</t>
  </si>
  <si>
    <t>PR.DS-5</t>
  </si>
  <si>
    <t>13</t>
  </si>
  <si>
    <t>CSC 19</t>
  </si>
  <si>
    <t>DE.CM-1</t>
  </si>
  <si>
    <t>3.6.1, 3.14.6, 3.14.7</t>
  </si>
  <si>
    <t>IR-2, IR-4, IR-5</t>
  </si>
  <si>
    <t>12.4.1</t>
  </si>
  <si>
    <t>DE.CM-1, DE.CM-2, DE.CM-7</t>
  </si>
  <si>
    <t>CSC 6, CSC 19</t>
  </si>
  <si>
    <t>11.4, 12.8</t>
  </si>
  <si>
    <t>DE.AE-1, DE.CM-1, PR.PT-4</t>
  </si>
  <si>
    <t>3.3.1</t>
  </si>
  <si>
    <t>AU-2</t>
  </si>
  <si>
    <t>1.1, 10.8, 10.6, 10.3, 10.2, 11.4</t>
  </si>
  <si>
    <t>DE.CM-7</t>
  </si>
  <si>
    <t>CSC 13, CSC 18</t>
  </si>
  <si>
    <t>8.2.1; 8.2.3</t>
  </si>
  <si>
    <t>DE.CM-7, PR.DS-2</t>
  </si>
  <si>
    <t>8.2.3</t>
  </si>
  <si>
    <t>3.1.19</t>
  </si>
  <si>
    <t>AC-19(5)</t>
  </si>
  <si>
    <t>DE.CM-7, PR.DS-1</t>
  </si>
  <si>
    <t>9.4.2</t>
  </si>
  <si>
    <t>12.7.1, 18.2.1</t>
  </si>
  <si>
    <t>DE.CM-7, DE.CM-8, ID.RA-1</t>
  </si>
  <si>
    <t>PR.AC-2, PR.AT-5, PR.IP-5, DE.CM-2</t>
  </si>
  <si>
    <t>3.8.2, 3.10.1, 3.10.2, 3.10.5, 3.10.6, 3.12.1</t>
  </si>
  <si>
    <t>MP-4, PE-2, PE-5, PE-6, PE-17</t>
  </si>
  <si>
    <t>PR.AC-2, PR.AC-4, PR.DS-1, PR.DS-3, PR.DS-5</t>
  </si>
  <si>
    <t>3.8.1, 3.8.5, 3.8.7</t>
  </si>
  <si>
    <t>MP-2, MP-5, MP-7</t>
  </si>
  <si>
    <t>12.1, 9.x</t>
  </si>
  <si>
    <t>11.1.2, 11.1.3</t>
  </si>
  <si>
    <t>DE.CM-2</t>
  </si>
  <si>
    <t>3.10.2</t>
  </si>
  <si>
    <t>PE-6</t>
  </si>
  <si>
    <t>11.1.2,  11.1.3</t>
  </si>
  <si>
    <t>11.1.2</t>
  </si>
  <si>
    <t>3.7.3, 3.8.1, 3.8.5, 3.8.7, 3.10.3</t>
  </si>
  <si>
    <t>5.1.1</t>
  </si>
  <si>
    <t>ID.GV-2</t>
  </si>
  <si>
    <t>3.9.1, 3.9.2</t>
  </si>
  <si>
    <t>PM-2, PM-10, SI-5, CA-5, PM-1</t>
  </si>
  <si>
    <t>12.4, 12.5</t>
  </si>
  <si>
    <t>CSC 4</t>
  </si>
  <si>
    <t>PR.IP-12</t>
  </si>
  <si>
    <t>CA-5, PM-1</t>
  </si>
  <si>
    <t>6.4.5</t>
  </si>
  <si>
    <t>10.1.1, 18.1.5</t>
  </si>
  <si>
    <t>CSC 4, CSC 17</t>
  </si>
  <si>
    <t>12.6, 6.5</t>
  </si>
  <si>
    <t>14.2.1, 14.2.5, 14.2.8</t>
  </si>
  <si>
    <t>DE.CM-8, RS.MI-3</t>
  </si>
  <si>
    <t>6.3.2</t>
  </si>
  <si>
    <t>14.2.8</t>
  </si>
  <si>
    <t>PR.DS-7</t>
  </si>
  <si>
    <t>6.3.2, 6.4.5.3</t>
  </si>
  <si>
    <t>3.13.2</t>
  </si>
  <si>
    <t>6.3, 6.3.1</t>
  </si>
  <si>
    <t>PR.IP-2</t>
  </si>
  <si>
    <t>CM-3, SA-15, SA-3, SA-8, SC-2, CA-5, PM-1</t>
  </si>
  <si>
    <t>16.1.5</t>
  </si>
  <si>
    <t>3.6.1, 3.12.2</t>
  </si>
  <si>
    <t>CA-5, PM-1, IR-4, IR-5, IR-7, IR-8</t>
  </si>
  <si>
    <t>12.10, 12.8, 12.9</t>
  </si>
  <si>
    <t>3.6.2,</t>
  </si>
  <si>
    <t>CA-5, PM-1, IR-4, IR-5, IR-6, IR-7, IR-8</t>
  </si>
  <si>
    <t>CA-2, SA-15, CA-5, PM-1, IR-4, IR-5, IR-6, R-7, IR-8</t>
  </si>
  <si>
    <t>7.1.1</t>
  </si>
  <si>
    <t>PR.IP-11</t>
  </si>
  <si>
    <t>3.9.1</t>
  </si>
  <si>
    <t>CA-5, PM-1, PS-3</t>
  </si>
  <si>
    <t>CSC 17</t>
  </si>
  <si>
    <t>7.1.2</t>
  </si>
  <si>
    <t>12.6, 7.x, 8.x, 9.x</t>
  </si>
  <si>
    <t>12.1, 5.4 (?)</t>
  </si>
  <si>
    <t>§164.308(a)(5)(i)</t>
  </si>
  <si>
    <t>7.2.2</t>
  </si>
  <si>
    <t>PR.AT-1</t>
  </si>
  <si>
    <t>3.2.1</t>
  </si>
  <si>
    <t>AT-2, CA-5, PM-1</t>
  </si>
  <si>
    <t>3.2.1, 3.2.2, 3.2.3</t>
  </si>
  <si>
    <t>AT-2, AT-3, CA-5, PM-1</t>
  </si>
  <si>
    <t>9.2.5</t>
  </si>
  <si>
    <t>3.1.7</t>
  </si>
  <si>
    <t>12.1, 12.5, 12.6</t>
  </si>
  <si>
    <t>12.7.1</t>
  </si>
  <si>
    <t>CA-5, PM-1, PS-4, PS-5, PE-2, PE-3, PE-5, AC-6, RA-3, SA-8, CA-2, NIST SP 800-37; NIST SP 800-39; NIST SP 800-115; NIST SP 800-137</t>
  </si>
  <si>
    <t>PR.PT-4</t>
  </si>
  <si>
    <t>PR.IP-1</t>
  </si>
  <si>
    <t>3.4.1, 3.4.2, 3.4.3</t>
  </si>
  <si>
    <t>CM-2, CM-3, CM-6, CM-8</t>
  </si>
  <si>
    <t>6.2.1</t>
  </si>
  <si>
    <t>3.13.13</t>
  </si>
  <si>
    <t>PR.IP-1, PR.IP-2</t>
  </si>
  <si>
    <t>3.1.18, 3.7.1, 3.13.13</t>
  </si>
  <si>
    <t>CM-2, CM-6, CM-3, AC-19, MA-2</t>
  </si>
  <si>
    <t>DE.CM-8</t>
  </si>
  <si>
    <t>3.11.1, 3.11.2, 3.11.3</t>
  </si>
  <si>
    <t>SI-2</t>
  </si>
  <si>
    <t>CSC 7, CSC 18</t>
  </si>
  <si>
    <t>ID.RA-1, DE.CM-8, PR.IP-12</t>
  </si>
  <si>
    <t>3.11.1, 3.11.2, 3.11.3, 3.14.2</t>
  </si>
  <si>
    <t>11.2, 11.3</t>
  </si>
  <si>
    <t>CSC 20</t>
  </si>
  <si>
    <t>18.2.1</t>
  </si>
  <si>
    <t>11.2, 12.8</t>
  </si>
  <si>
    <t>18.1.1, 7.2.2</t>
  </si>
  <si>
    <t>3.2.2</t>
  </si>
  <si>
    <t>AT-3</t>
  </si>
  <si>
    <t>§164.316(b)(2)(iii)</t>
  </si>
  <si>
    <t>§164.308(a)(2)</t>
  </si>
  <si>
    <t>§164.308(a)(6)(i)</t>
  </si>
  <si>
    <t>16.1.1</t>
  </si>
  <si>
    <t>3.6.1, 3.14.1</t>
  </si>
  <si>
    <t>IR-2, IR-4, IR-5, IR-7</t>
  </si>
  <si>
    <t>12.10, 10.10</t>
  </si>
  <si>
    <t>§164.308(a)(6)(ii)</t>
  </si>
  <si>
    <t>16.1.2, 16.1.5, 18.1.1</t>
  </si>
  <si>
    <t>3.6.2, 3.12.2</t>
  </si>
  <si>
    <t>IR-6</t>
  </si>
  <si>
    <t>§164.308(a)(1)(i), §164.308(a)(1)(ii)(A)</t>
  </si>
  <si>
    <t>§164.308(a)(5)(ii)(D)</t>
  </si>
  <si>
    <t>3.5.9</t>
  </si>
  <si>
    <t>§164.308(a)(4), §164.312(a)(2)(ii),  
§164.312(a)(2)(iii)</t>
  </si>
  <si>
    <t>3.1.8</t>
  </si>
  <si>
    <t>AC-7</t>
  </si>
  <si>
    <t>§164.308(a)(4),
§164.312(a)(2)(ii), §164.312(a)(2)(iii)</t>
  </si>
  <si>
    <t>3.1.10, 3.1.11</t>
  </si>
  <si>
    <t>AC-11, AC-11(1), AC-12</t>
  </si>
  <si>
    <t>§164.308(a)(4), 
§164.312(d)</t>
  </si>
  <si>
    <t>§164.308(a)(4), 
§164.312(a)(1), §164.312(a)(2)(i), 
§164.312(d)</t>
  </si>
  <si>
    <t>CSC 16, 5</t>
  </si>
  <si>
    <t>§164.308(a)(4),
§164.312(a)(1), §164.312(a)(2)(i), 
§164.312(d)</t>
  </si>
  <si>
    <t>3.1.2, 3.1.5</t>
  </si>
  <si>
    <t>§164.308(a)(4), 
§164.312(a)(1), §164.312(a)(2)(i),
§164.312(d)</t>
  </si>
  <si>
    <t>9.2.3</t>
  </si>
  <si>
    <t>§164.308(a)(4), 
§164.312(a)(1)</t>
  </si>
  <si>
    <t>CSC 6, CSC 16</t>
  </si>
  <si>
    <t>AU-2, AU-6, AU-12</t>
  </si>
  <si>
    <t>§ 164.308(a)(1)(ii)(D)</t>
  </si>
  <si>
    <t>3.3.2</t>
  </si>
  <si>
    <t>AU-3</t>
  </si>
  <si>
    <t>§164.312(b)</t>
  </si>
  <si>
    <t>§164.312(a)(2)(ii)</t>
  </si>
  <si>
    <t>§164.308(a)(7)(i)</t>
  </si>
  <si>
    <t>3.6.3, 3.12.2</t>
  </si>
  <si>
    <t>§164.308(b)(2)</t>
  </si>
  <si>
    <t>§164.308(b)(1),
§164.308(b)(3), §164.314(a)(1)(i)</t>
  </si>
  <si>
    <t>§164.308(a)(3)(i), §164.308(b)(1), 
§164.308(b)(3), §164.314(a)(1)(i)</t>
  </si>
  <si>
    <t>CSC 1, CSC 2</t>
  </si>
  <si>
    <t>CSC 12, CSC 13</t>
  </si>
  <si>
    <t>HECVAT - Full - Analyst Report</t>
  </si>
  <si>
    <r>
      <rPr>
        <rFont val="Verdana"/>
        <b/>
        <color rgb="FF000000"/>
        <sz val="12.0"/>
      </rPr>
      <t xml:space="preserve">Step 1: </t>
    </r>
    <r>
      <rPr>
        <rFont val="Verdana"/>
        <color rgb="FF000000"/>
        <sz val="12.0"/>
      </rPr>
      <t xml:space="preserve">Select the security framework used at your institution in cell B10. </t>
    </r>
    <r>
      <rPr>
        <rFont val="Verdana"/>
        <b/>
        <color rgb="FF000000"/>
        <sz val="12.0"/>
      </rPr>
      <t xml:space="preserve">Step 2: </t>
    </r>
    <r>
      <rPr>
        <rFont val="Verdana"/>
        <color rgb="FF000000"/>
        <sz val="12.0"/>
      </rPr>
      <t xml:space="preserve">Convert qualitative vendor responses into quantitative values, starting at cell G37. </t>
    </r>
    <r>
      <rPr>
        <rFont val="Verdana"/>
        <b/>
        <color rgb="FF000000"/>
        <sz val="12.0"/>
      </rPr>
      <t xml:space="preserve">Step 3: </t>
    </r>
    <r>
      <rPr>
        <rFont val="Verdana"/>
        <color rgb="FF000000"/>
        <sz val="12.0"/>
      </rPr>
      <t xml:space="preserve">Review converted values, ensuring full population of report. </t>
    </r>
    <r>
      <rPr>
        <rFont val="Verdana"/>
        <b/>
        <color rgb="FF000000"/>
        <sz val="12.0"/>
      </rPr>
      <t>Step 4:</t>
    </r>
    <r>
      <rPr>
        <rFont val="Verdana"/>
        <color rgb="FF000000"/>
        <sz val="12.0"/>
      </rPr>
      <t xml:space="preserve"> Move to the Summary Report tab.</t>
    </r>
  </si>
  <si>
    <t>HECVAT Version</t>
  </si>
  <si>
    <t>Full</t>
  </si>
  <si>
    <t>Vendor Email Address</t>
  </si>
  <si>
    <t>Date Prepared</t>
  </si>
  <si>
    <t>Institution's Security Framework</t>
  </si>
  <si>
    <t>Report Sections</t>
  </si>
  <si>
    <t>Max_Score</t>
  </si>
  <si>
    <t>Score</t>
  </si>
  <si>
    <t>Score %</t>
  </si>
  <si>
    <t>Overall Score</t>
  </si>
  <si>
    <t>Qualitative Questions</t>
  </si>
  <si>
    <t>ID</t>
  </si>
  <si>
    <t>Question</t>
  </si>
  <si>
    <t>Vendor Answer</t>
  </si>
  <si>
    <t>Compliant?</t>
  </si>
  <si>
    <t>HIPAA Section Required</t>
  </si>
  <si>
    <t>Mobile App Section Required</t>
  </si>
  <si>
    <t>Third  Party  Section Required</t>
  </si>
  <si>
    <t>Business Continuity  Section Required</t>
  </si>
  <si>
    <t>Disaster Recovery Section Required</t>
  </si>
  <si>
    <t>PCI DSS  Section Required</t>
  </si>
  <si>
    <t>Higher Education Community Vendor Assessment Tool (HECVAT) - Full - Analyst Reference</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</si>
  <si>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</si>
  <si>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Reason for Question</t>
  </si>
  <si>
    <t>Follow-up Inquiries/Responses</t>
  </si>
  <si>
    <t xml:space="preserve">Qualifier responses are meant to set the response requirements for a vendor and the intended use case. Since responses to these questions can make some question sections optional, vendors often answer sections partially, if they have the proper documentation. Depending on the security program maturity and risk tolerance of your institution, not all vendor responses will be relevant. </t>
  </si>
  <si>
    <t>This qualifier determines the presence of PHI in the solution and sets the HIPAA section as required appropriately.</t>
  </si>
  <si>
    <t>Reference the HIPAA section for follow-up review.</t>
  </si>
  <si>
    <t xml:space="preserve">The use of standalone, mobile applications is the focus of this qualifier and sets the Mobile Application section as required if in use. When a mobile application is implemented for system communication, data flows, encryption, and storage strategies on a mobile device become important. </t>
  </si>
  <si>
    <t>Reference the Mobile Application section for follow-up review. Many "applications" run in a web-browser and vendors incorrectly respond due to this common word use. Ensure that responses are in the context of true mobile applications, not just web-based systems.</t>
  </si>
  <si>
    <t>Vendors oftentimes use other vendors to supplement and/or host their infrastructures and it is important to know what, if any, institutional data is shared with fourth-parties. Responses to this qualifier set the response requirement for the Third Parties section.</t>
  </si>
  <si>
    <t>Reference the Third Parties section for follow-up review.</t>
  </si>
  <si>
    <t>This qualifier determines the existence of a complete, fully-populated BCP, maintained by the vendor, and sets the Business Continuity Plan  section as required appropriately.</t>
  </si>
  <si>
    <t>Reference the Business Continuity Plan section for follow-up review.</t>
  </si>
  <si>
    <t>This qualifier determines the existence of a complete, fully-populated DRP, maintained by the vendor, and sets the Business Continuity Plan  section as required appropriately.</t>
  </si>
  <si>
    <t>Reference the Disaster Recovery Plan section for follow-up review.</t>
  </si>
  <si>
    <t>This qualifier determines the presence of PCI DSS in the solution and sets the PCI DSS section as required appropriately.</t>
  </si>
  <si>
    <t>Reference the PCI DSS section for follow-up review.</t>
  </si>
  <si>
    <t>When consultants are given access to a system containing institutional data, the "sharing" of data is not in the same context as traditional data sharing (i.e. hosting, etc.) and thus, many of the HECVAT questions do not apply. When consultants have access to a system (onsite of via remote affiliate-type accounts), the Consulting section is most relevant.</t>
  </si>
  <si>
    <t>Reference the Consulting section for follow-up review.</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</si>
  <si>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</si>
  <si>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</si>
  <si>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</si>
  <si>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</si>
  <si>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</si>
  <si>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</si>
  <si>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</si>
  <si>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</si>
  <si>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</si>
  <si>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</si>
  <si>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</si>
  <si>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</si>
  <si>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</si>
  <si>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</si>
  <si>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</si>
  <si>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Normally a vendor will state their overall longevity but not talk about the software/service/product under evaluation. Follow-up's includes specific questions about the origins of the software/service/product and references will be requested.</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</si>
  <si>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</si>
  <si>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</si>
  <si>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</si>
  <si>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</si>
  <si>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</si>
  <si>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</si>
  <si>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</si>
  <si>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</si>
  <si>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</si>
  <si>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</si>
  <si>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Vendors oftentimes use other vendors to supplement and/or host their infrastructures and it is important to know what, if any, institutional data is shared with fourth-parties. This questions has multiple parts, therefore setting expectations that vendors provide robust responses.</t>
  </si>
  <si>
    <t xml:space="preserve">Vague responses to this question should be investigated further. Vendors without documentation in relation to how they deal with other vendors is alarming. </t>
  </si>
  <si>
    <t>Who, what, why - that simple. If a vendor is sharing institutional data with another party, it is expected that the vendor performs their due diligence when assessing their vendors.</t>
  </si>
  <si>
    <t>Insight into legal protections for the institution and its data are the focus of this question. Understanding all stakeholder's contractual responsibilities should be clearly stated by the vendor.</t>
  </si>
  <si>
    <t>Follow-up inquiries in regards to contracts will be institution/implementation specific.</t>
  </si>
  <si>
    <t>This is an open-ended question to allow the vendor to state the actions of their due diligence, as it pertains to safeguarding institutional data.</t>
  </si>
  <si>
    <t>Vague responses to this question should be investigated further. If the vendor's effort to ensure transparency falls short, there may be a reason.</t>
  </si>
  <si>
    <t>This question sets the stage for what the institution must do to accommodate the consultant(s). The question is important because it gives the institution the knowledge necessary to enact appropriate controls. For example, if the answer is "Yes", then access to appropriate locations can be granted, and equipment can be provisioned if needed. Whereas a "No" answer may require remote access control measures, such as the provisioning of VPN access for the consultant.</t>
  </si>
  <si>
    <t>Follow-up inquiries for on-premise consulting details will be institution/implementation specific.</t>
  </si>
  <si>
    <t>This question is very much about what level of network access is needed by these external consultants as it is anything else.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consultant may need to be given access to a data center's network. Again, the purpose here is to determine what level of access is enough and what controls to put in place to secure that access.</t>
  </si>
  <si>
    <t>Follow-up inquiries for on-premise consultant resource requirements will be institution/implementation specific.</t>
  </si>
  <si>
    <t xml:space="preserve">This normally is interpreted as "Does the consultant need to connect to our servers in our machine room(s)?". But, it can mean other things too. The real deeper question is, what protected resources does this consultant need to access? And why? For example: It would be unusual for an application developer to need access to a router or switch, so if that is requested, it should be questioned to see if it's reasonable. </t>
  </si>
  <si>
    <t xml:space="preserve">The consultant(s) should be asked for specifics. Example: Do you need access to only the database, or also the front-end? Do you need firewall adjustments? The goal is to ask questions designed around determining what the least level of access is that will allow the consultants to complete their work. </t>
  </si>
  <si>
    <t xml:space="preserve">There are occasions where a consultant needs to access a system in the same way the institution's users access it. This is most often seen in cases where code is being developed, but other scenarios exist. The answer to this question lets the institution know whether they need to alert their identity management team to provision an account for this consultant. </t>
  </si>
  <si>
    <t>Ask the vendor for the reasoning for this requirement. Establish the length (time) of account use. Establish clear expectations for account use. Confirm the sponsor arrangement and ensure protections are in-place for this authorization.</t>
  </si>
  <si>
    <t xml:space="preserve">Certain types of data are subject to either industry or regulatory standards. This question is designed to ensure that the contracted consultants do understand the requirements for handling those classes of data. Or, if they do not, then to give the institution time to implement another control or mitigation (for example: A training course assembled by the institution. Or contract terms designed to protect the institution by requiring that a contractor follow a specific standard). </t>
  </si>
  <si>
    <t>Follow-up inquiries for consultant training will be institution/implementation specific.</t>
  </si>
  <si>
    <t>This question is designed to get outright confirmation on whether your institution's data will transfer out and possibly reside, even temporarily, on the contractors' infrastructure. It is also designed to allow you to ask whether it transfers to the *company*, or to the *individual consultant*. That way, you will know what terms or controls to require (for example: 'Our institution's data can be stored and accessed on company owned equipment, but never on personally owned devices.')</t>
  </si>
  <si>
    <t xml:space="preserve">Where will this be stored? Who will have access to it? How long will you retain it? Will you use secure, multi-pass erase methods to dispose of the data once the job is complete? Basically, use this as an opportunity to track what will happen to the data once it's in the contractors' hands, and also to set the expectations with the contractor on how your institution's data should be handled, stored, erased, etc. </t>
  </si>
  <si>
    <t>The need for encryption at-rest is unique to your institution's implementation of a system. In particular, system components, architectures, and data flows, all factor into the need for this control.</t>
  </si>
  <si>
    <t>Follow-up inquiries for consultant possessed data encryption at-rest will be institution/implementation specific.</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</si>
  <si>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</si>
  <si>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</si>
  <si>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Restricting access to the least number of sources is a best-practice at the focus of this question. If consultants will access institution's data from a static location, ideally the access is restricted to that static location. Based on the institution's environment, data sensitivity, and detective/preventive capabilities, the response to this question may or may not be relevant.</t>
  </si>
  <si>
    <t>Follow-up inquiries for firewall rules and access control lists will be institution/implementation specific.</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</si>
  <si>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</si>
  <si>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</si>
  <si>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</si>
  <si>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</si>
  <si>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</si>
  <si>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</si>
  <si>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</si>
  <si>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</si>
  <si>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etc.). A vendor's response here will influence potential follow-up inquiries for other HECVAT questions.</t>
  </si>
  <si>
    <t>Ask the vendor to summarize why a multi-tenant (or other) environment/strategy is implemented and what compensating controls they have in place to ensure appropriate levels of confidentiality and integrity.</t>
  </si>
  <si>
    <t>Vendor responses to this question provides clarity on environment constraints that may exist and/or influence future development, configurations, infrastructure, etc. Although the vendor response may not directly affect end-users, the risks of the underlying infrastructure is better understood.</t>
  </si>
  <si>
    <t>Follow-up inquiries for operating systems leveraged by the vendor will be institution/implementation specific.</t>
  </si>
  <si>
    <t>Understanding system requirements and/or dependencies (e.g., frameworks, libraries, toolkits, modules, etc.) can reveal infrastructure risks that may not be apparent by other means. In some cases, the use of trusted components may be favorable. In others, it may initiate the assessment the vendor's environment in more detail and/or expand the scope of the institution's assessment.</t>
  </si>
  <si>
    <t>Follow-up inquiries concerning supplemental software/products will be institution/implementation specific.</t>
  </si>
  <si>
    <t xml:space="preserve">A picture is worth a thousand words. Diagrams improve transparency of the vendor's infrastructure and allows the institution to more accurately assess potential risks in a vendor's environment. Vendor's with mature infrastructures are expected to have detailed diagrams for all components of their system(s). </t>
  </si>
  <si>
    <t xml:space="preserve">Refusal to share diagrams (even sanitized ones) should be met with increased concern. 
Ask for systems architecture diagrams (e.g., Visio, OmniGraffle, etc.). 
Ask for detailed data flow diagrams. </t>
  </si>
  <si>
    <t>The use of n-tier architectures is best-practice, providing additional options to strength security controls. Segregating institutional data from front-end (public) systems in expected.</t>
  </si>
  <si>
    <t>Follow-up inquiries for n-tier infrastructure details will be institution/implementation specific.</t>
  </si>
  <si>
    <t xml:space="preserve">This open-ended question allows a vendor to describe the software/product/service from the perspective of an end-user (e.g., customer). Use the vendor's response to this question to confirm the use of mobile applications or web applications. This is oftentimes misinterpreted by vendor parties [that populate the HECVAT] that do not come from a technical background. </t>
  </si>
  <si>
    <t>The vendor's response to this question may reveal the need to ask additional follow-up questions to other responses.</t>
  </si>
  <si>
    <t>This question allows a vendor to describe situations in which their software/product/service cannot operate or be supported. The value of this question is relative, depending on the institution's operating environment.</t>
  </si>
  <si>
    <t>Verify if the vendor's infrastructure is constrained by a technology or if it is a best practice that is not adopted. Ask about the vendor's future support roadmap.</t>
  </si>
  <si>
    <t>User location data is a significant privacy and safety concern for individuals. Understanding a systems use and storage of user geolocation data is important.</t>
  </si>
  <si>
    <t xml:space="preserve">Vague responses to this question should be met with concern. Repeat the question if first answer insufficiently - ask pointedly to ensure the vendor is not misunderstood. </t>
  </si>
  <si>
    <t>Managing a software/product/service may rely on various teams to administrate a system, in this question, it is security operations and systems administration. This question is focused on how system(s) administration, and the segregation of duties, are implemented in the vendor's organization, so that system administrators do not also have security responsibilities (e.g., monitoring, mitigating, reporting, etc.)</t>
  </si>
  <si>
    <t xml:space="preserve">The focus of this question is privilege creep, a situation where employees gain access privileges as they move within an organization, but privileges that they were given in previous roles are not removed. This can lead to situations were an individual has concurrent access to systems that should not be allowed. </t>
  </si>
  <si>
    <t xml:space="preserve">Ask the vendor how administrator accounts are protected. Ask for documentation for their onboarding and offboarding procedures for new staff. </t>
  </si>
  <si>
    <t xml:space="preserve">The focus of this question is availability. When moving to off-premise solutions, many controls and strategies implemented on-site are no longer relevant to the security of the solution. </t>
  </si>
  <si>
    <t>Follow-up inquiries for tertiary services will be institution/implementation specific.</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</si>
  <si>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</si>
  <si>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</si>
  <si>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Many institutions have policy focused on passwords/passphrases and this question confirms the capacity of a vendor's software/product/service to comply.</t>
  </si>
  <si>
    <t>Follow-up inquiries for password/passphrase complexity requirements will be institution/implementation specific.</t>
  </si>
  <si>
    <t>Follow-up inquiries for password/passphrase limitations and/or restrictions will be institution/implementation specific.</t>
  </si>
  <si>
    <t xml:space="preserve">Account management can be a time-consuming part of an information system. Account reset capabilities, built into a system, can reduce burden on institutional support services. </t>
  </si>
  <si>
    <t>Ask the vendor how end-users will be supported. Ask for training documentation or knowledgebase content. Confirm vendor and institution responsibilities in this support area (and others).</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</si>
  <si>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</si>
  <si>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If a vendor indicates that a system is standalone and cannot integrate with community standards, follow-up with maturity questions and ask about other commodity type functions or other system requirements your institution may have.</t>
  </si>
  <si>
    <t xml:space="preserve">The response to this question can reveal the use (or not) of coding best-practices. If passwords/passphrases are hard coded into systems/productions, the vendor should provide robust details supporting why this is required. </t>
  </si>
  <si>
    <t>Vague responses to this question should be met with concern. Repeat the question if first answer insufficiently - ask pointedly to ensure the vendor is not misunderstood.</t>
  </si>
  <si>
    <t>Vendor responses to this question provides insight into account management, authorization scope, data integrity, etc. of system administrators. Use the vendor's response to provide context for other responses.</t>
  </si>
  <si>
    <t>Follow-up inquiries for administration module authorization will be institution/implementation specific.</t>
  </si>
  <si>
    <t>The focus of this question is confidentiality. Straight-forward question confirming the encryption of user authentication details.</t>
  </si>
  <si>
    <t>Follow-up inquiries for password/passphrase encrypted storage will be institution/implementation specific.</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</si>
  <si>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</si>
  <si>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</si>
  <si>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If a vendor indicates that a system is standalone and cannot integrate with the institution's infrastructure, follow-up with maturity questions and ask about other commodity type functions or other system requirements your institution may have.</t>
  </si>
  <si>
    <t>This is a follow-up to the questions above. Although a system may support authentication integrations, they may or may not be used on systems that store institutional data. Verify the use of authentication methods/functions in all parts of a system.</t>
  </si>
  <si>
    <t>Ask for diagrams or other documentation that clearly shows what protections/systems are used and where and when they are used. The detail of inquiry will be based on the institutions risk tolerance and criticality of data.</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</si>
  <si>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</si>
  <si>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Follow-up inquiries for system authentication will be unique to your institution (e.g., policy, infrastructure, etc.)</t>
  </si>
  <si>
    <t xml:space="preserve">The purpose of this question is understand the vendor's authentication infrastructure so that additional questions can be formulated for the institution's use case. </t>
  </si>
  <si>
    <t>The content of this response may or may not have value for the type of use case on the institution. Follow-up inquiries for authentication modes will be institution/implementation specific.</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</si>
  <si>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</si>
  <si>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</si>
  <si>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 xml:space="preserve">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system-related logs (e.g., including but not limited to - events, state changes, control modification, etc.). </t>
  </si>
  <si>
    <t>There are multiple components of this question - when assessing, ensure that the vendor responds to them all. Logs that are not properly managed may not be available when needed. The purpose of this question is to ensure that the vendor has a proper security mindset to ensure proper monitoring practices.</t>
  </si>
  <si>
    <t>Follow-up inquiries for logging details will be institution/implementation specific.</t>
  </si>
  <si>
    <t xml:space="preserve">In the context of the CIA triad, this question is focused on availability and is often in need of a follow-up. Understanding the maturing of a vendor's BCP can shed light on many other aspects of a vendor's overall security state. </t>
  </si>
  <si>
    <t>A vendor may have a number of BCP elements defined so the vendor's response may not be binary. Assess the components of the plan and ask about timelines, follow-up commitments, etc. 
If the vendor does not have a BCP, point them to https://www.sans.org/reading-room/whitepapers/recovery/business-continuity-planning-concept-operations-1653</t>
  </si>
  <si>
    <t>General inquiry for documentation. As BCPs may contain some sensitive data, a robust summary is appropriate in lieu of a full BCPP.</t>
  </si>
  <si>
    <t>If the vendor states "No", you can ask for a summary, white paper, or blog. If unable to review the full plan, infer what you can from other BCP question responses.</t>
  </si>
  <si>
    <t>Having a BCP and maintaining/updating/testing a BCP are very different. Establishing a responsible party is fundamental to this process and this question looks to verify that within the vendor.</t>
  </si>
  <si>
    <t>Follow-up inquiries for BCP responsible parties will be institution/implementation specific.</t>
  </si>
  <si>
    <t>Notification expectations should be set early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</si>
  <si>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</si>
  <si>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</si>
  <si>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</si>
  <si>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Testing a BCP is an important action that improves the efficiency and accuracy of a vendor's continuity plans. Annual updates are generally expected.</t>
  </si>
  <si>
    <t>Understanding the maturity of a vendor's training and awareness program will indicate the value they place on protecting institutional data. BCP related awareness training should be prevalent, continuous, and well-documented.</t>
  </si>
  <si>
    <t>If a vendor's BCP training and awareness activities are insufficient, inquire about other mandatory training, verify its scope, and confirm the training cycles.</t>
  </si>
  <si>
    <t>As it relates to BCPs, a vendor's response will provide insight into their ability to properly response to business threats. A vendor that has not previously defined responsible parties and outlined realistic plans may not maintain the availability needed for the institution's use case or business requirement.</t>
  </si>
  <si>
    <t>Follow-up inquiries for BCP roles and responsibility details will be institution/implementation specific.</t>
  </si>
  <si>
    <t>In the event that a vendor's headquarters (primary location of operation) is no longer usable, an alternative business site may be needed to support business operations. Having an established (planned) alternative business site show maturity in a vendor's BCP.</t>
  </si>
  <si>
    <t>Follow-up inquiries for alternative business site practices will be institution/implementation specific.</t>
  </si>
  <si>
    <t>Testing a BCP is an important action that improves the efficiency and accuracy of a vendor's continuity plans. Vague responses to this question should be met with concern and appropriate follow-up, based on your institutions risk tolerance.</t>
  </si>
  <si>
    <t xml:space="preserve">The purpose of this question is understand the vendor's order of response if affected by a unplanned business disruption. If the software/product/service being assessed is a vendor's core moneymaker, the probability that restoration of the software/product/service will be top priority. </t>
  </si>
  <si>
    <t>If it is not a core service, follow-up questions should be availability focused and institution/implementation specific.</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</si>
  <si>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</si>
  <si>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</si>
  <si>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This question outlines a mature Change Management process.  Changes should be analyzed for impact, officially approved, tested, and performed by authorized users.</t>
  </si>
  <si>
    <t>If the vendor's response does not cover the details outlined in the reasoning, follow-up and get specific responses, as needed.</t>
  </si>
  <si>
    <t>Notification expectations should be set earlier in the contract/assessment process. Timelines, correspondence medium, and playbook details are all aspects to keep in mind when assessing this response.</t>
  </si>
  <si>
    <t xml:space="preserve">Unplanned and/or unexpected changes in a complex environment can introduce intolerable risks to the institution. Based on the operating environment of the institution, it may be necessary to postpone (or properly plan) the change to a system. The vendor's response should clarify their use of a "one code base" method or the ability to run multiple version concurrently. </t>
  </si>
  <si>
    <t>Follow-up inquiries for software/product/service version releases will be institution/implementation specific.</t>
  </si>
  <si>
    <t xml:space="preserve">Supporting multiple versions of a product is challenging. Understanding the vendor’s strategy and resources will provide insight into their ability to adequately support their customers.  </t>
  </si>
  <si>
    <t>Follow-up inquiries for the vendor’s support of concurrent versions will be institution/implementation specific.</t>
  </si>
  <si>
    <t xml:space="preserve">This question shows how easy it is for customers to upgrade from one version of the software to the next. If the software has many interdependencies, it will be difficult for customers to transition to the next version, and the software will be more difficult to support.  </t>
  </si>
  <si>
    <t xml:space="preserve">The vendor's software/product/service characteristics and the institution's use case will determine the relevancy of this question. The purpose of this question is to understand the underlying infrastructure and how it is maintained across all customers. </t>
  </si>
  <si>
    <t>In cases where the software/product/service is customized for customer use cases, ensure the vendor's response covers all aspects of code migration, including backups, data conversions, local resources from the institution, etc., as it relates to code upgrades and/or version adoptions.</t>
  </si>
  <si>
    <t xml:space="preserve">Understanding the vendor’s approach to approving software for production will indicate the value they place on quality assurance. </t>
  </si>
  <si>
    <t>If a weak response is given to this answer, response scrutiny should be increased. Questions about software testing and reviews are appropriate.</t>
  </si>
  <si>
    <t xml:space="preserve">Answers to this question will reveal the vendor’s ability to plan in the short term.  This is valuable information for customers so they can anticipate updates and potential bug fixes. </t>
  </si>
  <si>
    <t>Follow-up inquiries for the vendor’s product update practices will be institution/implementation specific.</t>
  </si>
  <si>
    <t>Answers to this question will reveal the vendor’s ability to plan for the future of their product.</t>
  </si>
  <si>
    <t>Follow-up inquiries for the vendor’s technology planning practices will be institution/implementation specific.</t>
  </si>
  <si>
    <t>The response to this question allows the institution to understand the information technology resources required to properly maintain the vendor's system. Initial acquisition and setup is important to assess, but the long-term maintenance (and the risks that come with it), should be clearly defined. Use the response to this question to pivot to other questions and/or verify other vendor responses.</t>
  </si>
  <si>
    <t>Vague responses to this question should be investigated further. Ask for additional documentation for customer responsibilities (in the context of information technology/security).</t>
  </si>
  <si>
    <t>Answers to this question will reveal the vendor’s knowledge of their IT assets and their ability to respond to notifications about their systems and software.</t>
  </si>
  <si>
    <t>Follow-up inquiries for the vendor’s patching practices will be institution/implementation specific.</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</si>
  <si>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</si>
  <si>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</si>
  <si>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Restricting system updates to a standard maintenance timeframe is important for ensuring that changes to production systems do not impact operations.  It’s also important for troubleshooting any problems that may occur as a result of the changes.</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</si>
  <si>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</si>
  <si>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</si>
  <si>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the vendors infrastructure will be institution/implementation specific.</t>
  </si>
  <si>
    <t>Systems that are directly exposed to public internet resources are at great risk than those that are not. Understanding the requirements for this configuration is important, particularly when assessing compensating controls.</t>
  </si>
  <si>
    <t>Ask the vendor about their infrastructure and if there is a solution that eliminates the need for this environment.</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</si>
  <si>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</si>
  <si>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t>
  </si>
  <si>
    <t>Follow-up inquiries for data encryption at-rest will be institution/implementation specific.</t>
  </si>
  <si>
    <t>Beware the use of proprietary encryption implementations. Open standard encryption, preferably mature, is often preferred. Although there may be cases if which that is not the case, be sure to understand the vendor's infrastructure and the true security of a vendor's solution.</t>
  </si>
  <si>
    <t xml:space="preserve">If the vendor cannot accommodate open standards encryption requirements, direct them to NIST's Cryptographic Standards and Guidelines document at https://csrc.nist.gov/Projects/Cryptographic-Standards-and-Guidelines </t>
  </si>
  <si>
    <t xml:space="preserve">The need for encryption in transport is unique to your institution's implementation of a system. In particular, system components, architectures, and data flows, all factor into the need for this control. Ensure that vendor responses cover encryption between the hosts within their system - this is the important piece that follows-up on DATA-03.	</t>
  </si>
  <si>
    <t>Follow-up inquiries for data encryption within the system components (and end-users)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</si>
  <si>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</si>
  <si>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location details will be institution/implementation specific.</t>
  </si>
  <si>
    <t>When cancelling a software/product/service, an institution will commonly want all institutional data that was provided to a vendor. This questions allows the vendor to state their general practices when a customer leaves their environment.</t>
  </si>
  <si>
    <t>A vendor's response should be clear and concise. Be wary of vague responses to this questions and inquire about export specifics, as needed.</t>
  </si>
  <si>
    <t>When cancelling a software/product/service, an institution will commonly want all institutional data that was provided to a vendor. The vendor's response should verify if the institution can extract data or if it is a manual extraction by vendor staff.</t>
  </si>
  <si>
    <t>This question clarifies the operating model of a vendor and provides insight into the vendor-customer paradigm of a company. Knowing if the institution is of value to a vendor or if the institution's data is of value to a vendor should weigh heavily in the decision-making process.</t>
  </si>
  <si>
    <t>If a vendor's response is unsatisfactory, engage institutional counsel to appropriately address any ownership concerns.</t>
  </si>
  <si>
    <t>This question clarifies the position of the institution in the case of acquisition or bankruptcy. Expect clear responses to this question - if vague, be sure to follow-up based on institutional counsel guidance.</t>
  </si>
  <si>
    <t>This is a general inquiry about backup processes. There may be some overlap with other vendor responses - this is a good place to crosscheck consistency and valid any issues that are not clear.</t>
  </si>
  <si>
    <t>Follow-up inquiries for server backup process details will be institution/implementation specific.</t>
  </si>
  <si>
    <t>Restricting system updates to a standard maintenance timeframe is important for ensuring that changes to production systems do not impact operations.  It’s also important for troubleshooting any problems that may occur as a result of the changes. Availability is the focus of this question.</t>
  </si>
  <si>
    <t>An institution's use case will drive the requirements for backup strategy. Ensure that the institution's use case and risk tolerance can be met by vendor systems.</t>
  </si>
  <si>
    <t>Confidentiality of data and lifecycle media/data maintenance maturity are the focus of this question. Data retention requirements vary greatly and this question seeks clarity of vendor practices.</t>
  </si>
  <si>
    <t>Follow-up inquiries for data backup (and retention) details will be institution/implementation specific.</t>
  </si>
  <si>
    <t>The need for encryption at-rest (for backups) is unique to your institution's implementation of a system. In particular, system components, architectures, and data flows, all factor into the need for this control.</t>
  </si>
  <si>
    <t>Follow-up inquiries for data backup encryption at-rest will be institution/implementation specific.</t>
  </si>
  <si>
    <t>Understanding how key management is handled and the safeguards implemented by the vendor to ensure key confidentiality in all components of a system(s) can provide insight into other complex details of a vendor's infrastructure. Use vendor responses to this question as a way to pivot to other infrastructure specifics, as needed to clarify potential risks.</t>
  </si>
  <si>
    <t>Follow-up with the vendor to ensure that all components of the system are consider. This includes, system-to-system, system-to-client, applications, system accounts, etc.</t>
  </si>
  <si>
    <t>The purpose of this question is to define the scope of backup operations and the scope at which a vendor may readily recover when backup restoration is required.</t>
  </si>
  <si>
    <t>Follow-up inquiries for backup content scope will be institution/implementation specific.</t>
  </si>
  <si>
    <t>When data is moved digitally (e.g., cloud provider, vendor-owned facility, etc.) offsite, the policies and implemented procedures are important to know. The protections implemented to prevent compromise will be technical in nature and should be well-documented.</t>
  </si>
  <si>
    <t>Follow-up inquiries for offsite, digital backups will be institution/implementation specific.</t>
  </si>
  <si>
    <t xml:space="preserve">When data is moved physically (e.g. HDD, print, etc.) offsite, the policies and implemented procedures are important to know. Unencrypted data taken outside secured areas introduces unnecessary risks. </t>
  </si>
  <si>
    <t>Follow-up inquiries for offsite, physical backups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</si>
  <si>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</si>
  <si>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</si>
  <si>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</si>
  <si>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Vague responses to this question should be investigated further. Ask for additional documentation and verify that procedure (and possibly training) exists to ensure proper media handling activity.</t>
  </si>
  <si>
    <t>Follow-up inquiries for DoD 5220.22-M and/or SP800-88 standards will be institution specific.</t>
  </si>
  <si>
    <t>Follow-up inquiries for data retention details will be institution/implementation specific.</t>
  </si>
  <si>
    <t>Standard documentation, relevant to institution implementations requiring FERPA compliance.</t>
  </si>
  <si>
    <t>Follow-up inquiries for FERPA compliance details will be institution/implementation specific.</t>
  </si>
  <si>
    <t xml:space="preserve">Confidentiality is the focus of this question. Based on the capabilities of administrators (vendor), the institution may require additional safeguards to protect the confidentiality of data stored by/shared with a vendor (e.g., additional layer of encryption, etc.). </t>
  </si>
  <si>
    <t>If institutional data is visible by [vendor] system administrators, follow-up with the vendor to understand the scope of visibility, process/procedure that administrators follow, and use cases when administrators are allowed to access (view) institutional data.</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</si>
  <si>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</si>
  <si>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</si>
  <si>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</si>
  <si>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</si>
  <si>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 xml:space="preserve">Data ownership, availability, and the use of third-parties are all somewhat connected to the response of this question. </t>
  </si>
  <si>
    <t>Simple responses without supporting documentation should be me with concern. Follow-up with a vendor and request supporting documentation if the answer is in any way dismissive or off-point.</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</si>
  <si>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</si>
  <si>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</si>
  <si>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 xml:space="preserve">Vendors that operate their own datacenter(s) can implement their own monitoring strategy. Use the vendor's response to this questions to verify/validate other responses related to ownership/co-location/physical security. </t>
  </si>
  <si>
    <t>Follow-up inquiries for data center staffing will be institution/implementation specific.</t>
  </si>
  <si>
    <t>The purpose of this question is to confirm ownership and physical characteristics of the infrastructure responsible for storing/hosting institutional data.</t>
  </si>
  <si>
    <t>Ask about sharing agreements. Ask about vetting of individuals with access to the co-location space. Ask about access controls, policies, physical environments, etc.</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</si>
  <si>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</si>
  <si>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</si>
  <si>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 xml:space="preserve">Network configuration requirements vary greatly and this question give vendor's the chance to summarize their system's network infrastructure. Review the vendor's response to this question and then reassess other infrastructure components or other vendor response's that may be affected by the network infrastructure described in this response. </t>
  </si>
  <si>
    <t>Standalone solutions will require follow-up questions similar to onsite consulting. SaaS solutions that are hosted in IaaS environments will have network segments and configurations appropriate for that environment. Follow-up questions will be platform/environment specific.</t>
  </si>
  <si>
    <t>Follow-up inquiries for datacenter location details will be institution/implementation specific.</t>
  </si>
  <si>
    <t>Geographic diversity is ideal when planning primary and secondary datacenters. The focus of this question is to determine appropriate geographic diversity to meet the availability requirements of the institution.</t>
  </si>
  <si>
    <t>Inquire about future plans, backup plans for the backup plan, etc. Availability is the name of the game - focus on the needs of the institution, especially BCP and DRP elements.</t>
  </si>
  <si>
    <t>Follow-up inquiries for co-location contracts will be institution/implementation specific.</t>
  </si>
  <si>
    <t>Standard documentation, relevant to institutions requiring a vendor to maintain a specific Uptime Institute Tier Level.</t>
  </si>
  <si>
    <t>Follow-up inquiries for Uptime Institute Tier Level details will be institution/implementation specific.</t>
  </si>
  <si>
    <t xml:space="preserve">In the context of the CIA triad, this question is focused on the availability of a system (or set of systems). </t>
  </si>
  <si>
    <t>The weight placed on the vendor's response will be specific to the institution's use case and software/product/service requirements.</t>
  </si>
  <si>
    <t>Installing [potential] redundant power and regularly testing strategies to ensure they will work when needed are very different. Vague responses to this question should be met with concern and appropriate follow-up, based on your institutions risk tolerance.</t>
  </si>
  <si>
    <t>Follow-up inquiries for redundant power testing details will be institution/implementation specific.</t>
  </si>
  <si>
    <t>Vendor responses will indicate the environment of the vendor's datacenter. If a vendor's "datacenter" is the spare closet at the office, additional risks are introduced to the CIA triad, and should be followed-up on appropriately.</t>
  </si>
  <si>
    <t>Follow-up inquiries for cooling and fire suppression details will be institution/implementation specific.</t>
  </si>
  <si>
    <t xml:space="preserve">In the context of the CIA triad, this question is focused on availability and is often in need of a follow-up. Understanding the maturing of a vendor's DRP can shed light on many other aspects of a vendor's overall security state. </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</si>
  <si>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</si>
  <si>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Having a DRP and maintaining/updating/testing a DRP are very different. Establishing a responsible party is fundamental to this process and this question looks to verify that within the vendor.</t>
  </si>
  <si>
    <t>Follow-up inquiries for DRP responsible parties will be institution/implementation specific.</t>
  </si>
  <si>
    <t>General inquiry for documentation. As DRPs may contain some sensitive data, a robust summary is appropriate in lieu of a full DRP.</t>
  </si>
  <si>
    <t>If the vendor states "No", you can ask for a summary, white paper, or blog. If unable to review the full plan, infer what you can from other DRP question responses.</t>
  </si>
  <si>
    <t>In the event that a vendor's headquarters (primary location of operation) is no longer usable, a recovery site may be needed to support business operations. Having an established (planned) recovery site show maturity in a vendor's DRP.</t>
  </si>
  <si>
    <t>Follow-up inquiries for disaster recovery site practices will be institution/implementation specific.</t>
  </si>
  <si>
    <t>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</si>
  <si>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</si>
  <si>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 xml:space="preserve">Testing a DRP is an important action that improves the efficiency and accuracy of a vendor's recovery plans. Vague responses to this question should be met with concern and appropriate follow-up, based on your institutions risk tolerance. </t>
  </si>
  <si>
    <t>The vendor's response to this question will verify other responses related to planning, testing, and metrics. Use the response to infer the maturity of the vendor's DRP efforts.</t>
  </si>
  <si>
    <t>Follow-up inquiries for recovery time capabilities will be institution/implementation specific.</t>
  </si>
  <si>
    <t xml:space="preserve">Vendor responses to this questions need to be evaluated in the context of use case, data criticality, institutional risk tolerance, and value of the software/product/service to the institution's mission. </t>
  </si>
  <si>
    <t>Follow-up inquiries for cyber-risk insurance will be institution/implementation specific.</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</si>
  <si>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</si>
  <si>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If a vendors states that they outsource their code development and do not run a WAF, there is elevated reason for concern. Verify how code is tested, monitored, and controlled in production environments.</t>
  </si>
  <si>
    <t xml:space="preserve">Modifications to firewall rulesets can have significant repercussions. To ensure the integrity of the ruleset, this question targets the individual (or responsible party) for changes and the reasoning behind their authority. </t>
  </si>
  <si>
    <t>Ensure that a separation of duties exists in network security configurations. Pay close attention to responsibility overlap in small organizations, where staff often fill multiple roles.</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</si>
  <si>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</si>
  <si>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</si>
  <si>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It is important to have detective capabilities in an information system to protect institutional data. Somewhat expected in information systems, vendors without IDSs implemented should raise concerns. Compensating controls need future evaluation, if provided by the vendor.</t>
  </si>
  <si>
    <t>A security program with limited resources for event detection is not effective. Inquiries should include training for staff, reasoning behind not using IDS technologies, and how systems are monitored. Additional questions about a SIEM and other tool may be appropriate.</t>
  </si>
  <si>
    <t>It is important to have preventive capabilities in an information system to protect institutional data. Somewhat expected in information systems, vendors without IPSs implemented should raise concerns. Compensating controls need future evaluation, if provided by the vendor.</t>
  </si>
  <si>
    <t xml:space="preserve">A security program with limited resources for active prevent is inefficient. Inquiries should include training for staff, reasoning behind not using IPS technologies, and how systems are actively protected and how malicious activity is stopped. </t>
  </si>
  <si>
    <t>Ask the vendor to summarize why host-based intrusion detection tools are not implemented in their environment. What compensating controls are in place to detect configuration changes and/or failures of integrity?</t>
  </si>
  <si>
    <t>Ask the vendor to summarize why host-based intrusion prevention tools are not implemented in their environment. What compensating controls are in place to detect malicious activity and to actively prevent its function.</t>
  </si>
  <si>
    <t xml:space="preserve">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t>
  </si>
  <si>
    <t>Follow-up inquiries for NGPT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</si>
  <si>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</si>
  <si>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</si>
  <si>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This question is primarily focused on the capability of a vendor's security program. Understanding the size and skillsets of a vendor (taken from other responses) is needed to determine the appropriateness of the vendor's response to this question.</t>
  </si>
  <si>
    <t>Follow-up inquiries for intrusion monitoring will be institution/implementation specific.</t>
  </si>
  <si>
    <t>Strong logging capabilities are vital to the proper management of a network. Implementing an immature system that lacks sufficient logging capabilities exposes an institution to great risk.</t>
  </si>
  <si>
    <t>If a weak response is given to this answer, it is an indicator that a non-technical representative populated the document and response scrutiny should be increased. 
If a vendor does not answer appropriately, a follow-up request to have the question fully-answered is appropriate.</t>
  </si>
  <si>
    <t>The purpose of this question is to highlight any concerning restrictions in the software/product/service that may cause support (or other) risks when deployed.</t>
  </si>
  <si>
    <t>Follow-up inquiries for mobile application compatibility will be institution/implementation specific.</t>
  </si>
  <si>
    <t>Languages, platforms, libraries, coding style - anything along these lines is what this question is after. Layers of architecture, number of systems, complexity of configuration, and commonality of hardware/software are all points of interest in this question.</t>
  </si>
  <si>
    <t>Vague responses to this question should be investigated further. Ask for additional documentation and verify that appropriate documentation exists to clearly understand the vendor's environment.</t>
  </si>
  <si>
    <t>Distributing application via known, moderately vetted application platform decreases the chances of malicious code distribution. Standalone deployments (non-trusted sources) should be looked at more closely.</t>
  </si>
  <si>
    <t>Ask the vendor why this deployment strategy is used. Ask if it is a restriction of the app store platform or some other environment restriction.</t>
  </si>
  <si>
    <t xml:space="preserve">The purpose of this question is to understand the flow of data, specifically critical data, so that the proper follow-up questions can be asked. </t>
  </si>
  <si>
    <t>Ask the vendor for data flow diagrams. Communication trusts between nodes is important - ask how data is handled at the application (device end), not just the servers.</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</si>
  <si>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</si>
  <si>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</si>
  <si>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</si>
  <si>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</si>
  <si>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External verification of application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</si>
  <si>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 xml:space="preserve">If "No", inquire if there has ever been a vulnerability scan. A short lapse in external assessment validity can be understood (if there is a planned assessment) but a significant time lapse or none whatsoever is cause for elevated levels of concern. </t>
  </si>
  <si>
    <t xml:space="preserve">If "No", inquiry is there has ever been a vulnerability scan. A short lapse in external assessment validity can be understood (if there is a planned assessment) but a significant time lapse or none whatsoever is cause for elevated levels of concern. </t>
  </si>
  <si>
    <t xml:space="preserve">This question is primarily focused on system(s) integrity. If institutional data is stored in a system that is not physically secured from unauthorized access, the need for compensating controls is often higher. This question also encompasses office (and other) spaces used by the vendor to conduct operations. </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</si>
  <si>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</si>
  <si>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</si>
  <si>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</si>
  <si>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 xml:space="preserve">The focus of this question is the detective capabilities in the event an incident occurs in regards to institutional data. </t>
  </si>
  <si>
    <t>Follow-up inquiries for video data storage will be institution/implementation specific.</t>
  </si>
  <si>
    <t>Follow-up inquiries for video monitoring will be institution/implementation specific.</t>
  </si>
  <si>
    <t>Managing media (and the data within) throughout its lifecycle is crucial to the protection of institutional data. The focus of this question is confidentiality, ensuring that equipment used to store institutional data is appropriately protected.</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</si>
  <si>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</si>
  <si>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</si>
  <si>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 xml:space="preserve">In the context of the CIA triad, this question is focused on system integrity, ensuring that system changes are only executed according to policy. Additionally, it is expected that devices used to access the vendor's systems are properly managed and secured. </t>
  </si>
  <si>
    <t>Follow-up with a robust question set if the vendor cannot clearly state full-control of their system patching strategy. Questions about patch testing, testing environments, threat mitigation, incident remediation, etc. are appropriate.</t>
  </si>
  <si>
    <t>Code analysis (prior to implementation) can decrease the number of vulnerabilities within a system. Depending on the insight a vendor has into their code, code testing should be expected. When a vendor outsources their coding efforts, the use of a web application firewall may be appropriate. In this case, reference the vendor's response to their use of a WAF.</t>
  </si>
  <si>
    <t>Ask the vendor what types of tools they use in testing. And who performs the testing of the code. Are developers the ones running the security tests? If static code analysis and/or static application security testing is not conducted, point the vendor to OWASP's Testing Guide at https://www.owasp.org/index.php/OWASP_Testing_Guide_v4_Table_of_Contents</t>
  </si>
  <si>
    <t xml:space="preserve">Code analysis (prior to implementation) can decrease the number of vulnerabilities within a system. Depending on the insight a vendor has into their code, code testing should be expected. </t>
  </si>
  <si>
    <t>If software testing processes are not established and followed, point the vendor to OWASP's Testing Guide at https://www.owasp.org/index.php/OWASP_Testing_Guide_v4_Table_of_Contents</t>
  </si>
  <si>
    <t xml:space="preserve">Mature product/software/service lifecycle management can position a vendor to sufficiently plan, implement, and manage systems that better protect institutional data. </t>
  </si>
  <si>
    <t>Although withdrawn by NIST, the Security Considerations in the Systems Development Life Cycle (SP 800-64r2) document is an excellent resource to provide guidance to vendors (i.e. set expectations.) Follow-up questions to SDLC use will be institution/implementation specific.</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</si>
  <si>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</si>
  <si>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</si>
  <si>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This is a general inquiry to determine if the vendor is well-versed in applicable laws and regulations that apply in the institution's region of business operation.</t>
  </si>
  <si>
    <t>If a vendor is vague in their response, follow-up with direct questions about doing business in your state/region/country and any laws that are pertinent to the institution.</t>
  </si>
  <si>
    <t>This is a general inquiry to determine if the vendor has reviewed the institution's policies and are committed to complying with them.</t>
  </si>
  <si>
    <t>If a vendor is vague in their response, follow-up with direct questions about the institution's policies and ensure the expectation of compliance is clear with the vendor.</t>
  </si>
  <si>
    <t>The use of detective and preventive controls in the hiring process serve a valuable role in protecting institutional data. As these are often HR documented policies, a vendor should have their practices well-documented and ready for review, upon request.</t>
  </si>
  <si>
    <t>Ask the vendor is background checks and/or screening are conducted in any capacity, at any time during the employment period. Ask about the precautions they take to ensure the intellectual property is secured and inquire if user data is treated in an appropriate manner.</t>
  </si>
  <si>
    <t>Setting the expectation of performance and increase awareness of security-related responsibilities are part of these initial-hiring documents. Oftentimes these agreements and reviews are conducted during orientation for new employees.</t>
  </si>
  <si>
    <t>If a vendor's practices are not clear, inquire about training requirements for employees, especially the frequency and scope of content.</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</si>
  <si>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</si>
  <si>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</si>
  <si>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Understanding the maturity of a vendor's awareness program will indicate the value they place on protecting institutional data. Security involves all parts of an organization, end-user staff included. Awareness training should be prevalent, continuous, and well-documented.</t>
  </si>
  <si>
    <t>If a vendor's awareness training is not prevalent, continuous, and well-documented, it is cause for concern. Inquire about other mandatory training, verify its scope, and confirm the training cycles.</t>
  </si>
  <si>
    <t>The focus of this question is if they audit, how they audit, what they audit, and how it is properly documented and consistently conducted.</t>
  </si>
  <si>
    <t>Follow-up inquiries for internal audit strategies will be institution/implementation specific.</t>
  </si>
  <si>
    <t>Not every software/product/service will have everything an institution will need, at all times, during the lifecycle of a system. The ability to influence development efforts is a valuable position for a higher ed institution. Knowing that a vendor is listening and wants to deliver viable solutions builds trust in the implementation.</t>
  </si>
  <si>
    <t>Ask how requests should be submitted, how requests are prioritized, and by whom. Ask about product roadmaps (1yr, 2yr, 5yr, depending on use case).</t>
  </si>
  <si>
    <t>Oftentimes an institution will want to evaluate a solution before committing to purchase or deploying future functionality. Based on the use case, flexibility in product evaluation may be a requirement.</t>
  </si>
  <si>
    <t>Follow-up inquiries for evaluations sites will be institution/implementation specific.</t>
  </si>
  <si>
    <t xml:space="preserve">Integrity and availability are the focus of this question. The existence of a well-documented quality assurance program, with demonstrated and published metrics, may provide insight into the inner workings (mindset) of a vendor. </t>
  </si>
  <si>
    <t>Institutions vary broadly on how QA is handled so any follow-up questions will be contract/institution/implementation specific.</t>
  </si>
  <si>
    <t>Standard documentation, relevant to institutions requiring a vendor to comply with ISO 9001.</t>
  </si>
  <si>
    <t xml:space="preserve">Follow-up inquiries for ISO 9001 content will be institution/implementation specific. </t>
  </si>
  <si>
    <t>This question is for institutions that tie metrics and service level agreements (SLAs) or expectations (SLEs) to security reviews. The implementation strategy and use case will indicate the relevancy of this question for security/risk assessment.</t>
  </si>
  <si>
    <t xml:space="preserve">Follow-up inquiries for quality and performance metrics will be contract/institution/implementation specific. </t>
  </si>
  <si>
    <t>This is a general inquiry to determine if the vendor being assessed has done or is doing business with the institution as the time of assessment. Existing relationships, if present, can be reviewed for insights into a vendor and/or to verify other responses.</t>
  </si>
  <si>
    <t>Many Higher Ed institutions are large enough that existing/former contracts exist with one entity of the college/university (e.g. School of X) but it is unknown to another. Question the vendor in-depth if you get a vague response to this question - combining licenses/purchases increases buying power.</t>
  </si>
  <si>
    <t xml:space="preserve">This question is used to gauge the importance of our industry (higher education) to the vendor. </t>
  </si>
  <si>
    <t>This is a general information question - any follow-up will be institution/implementation specific.</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</si>
  <si>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</si>
  <si>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</si>
  <si>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 xml:space="preserve">Hardware lifecycles and continuous software updates creates an always-changing landscape in information technology. The focus of this question is the integrity of a vendor's infrastructure. Mismanagement of system configurations can lead to breakdowns in layers of security. </t>
  </si>
  <si>
    <t>It is expected that vendors should have robust documentation when it comes to configuration management. Vague answers to this question should be met with concern. Inquire about the device management tools in use, system lifecycles, complexity of systems, etc. and evaluate the response in the context of company capabilities (see Company Background section).</t>
  </si>
  <si>
    <t xml:space="preserve">The focus of this question is confidentiality. Vendor employees accessing institutional data from personal, unmanaged (by vendor) devices pose a risk of loss of confidentiality. </t>
  </si>
  <si>
    <t>Follow-up inquiries for mobile device management procedures/practices will be institution/implementation specific. Increased scrutiny should be placed on compensating controls, data loss prevention, access controls, auditing, etc.</t>
  </si>
  <si>
    <t xml:space="preserve">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t>
  </si>
  <si>
    <t>Follow-up with a robust question set if the vendor cannot clearly state full-control of the integrity of their system(s). Questions about administrator access on end-user devices and other maintenance and patching type questions are appropriate.</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</si>
  <si>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</si>
  <si>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If "No", inquiry if there are plans to implement these processes. Ask the vendor to summarize their decision behind not scanning their applications for vulnerabilities. Prior to release.</t>
  </si>
  <si>
    <t>External verification of system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</si>
  <si>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Every infrastructure has a set of tools best suited to evaluate and protect it from vulnerability. Regardless of focus (i.e. code, hardware systems, etc.), professional, well-established tools are ideal when performing vulnerability assessment. In addition, the talent/skillset of a vulnerability assessor is also important.</t>
  </si>
  <si>
    <t>Inquiries should be focused on matching tools to policy/procedures and ensuring that a vendor has the skillset/knowledge to properly scan their environments for vulnerabilities and address them adequately, when discovered.</t>
  </si>
  <si>
    <t>If a vendor is scanning their applications and/or systems, oftentimes an institution will want to review the report, if possible. Preferably, any finding on the reports will have a matching mitigation action.</t>
  </si>
  <si>
    <t>If a vendor is hesitant to share the report, ask for a summarized version - some insight is better than none.</t>
  </si>
  <si>
    <t>The adherence to secure coding best practices better positions a vendor to maintain the CIA triad. Use the knowledge of this response when evaluating other vendor statements, particularly those focused on development and the protection of communications. Vendors should be monitoring for and addressing these issues in their products.</t>
  </si>
  <si>
    <t>If information security principles are not designed into the product lifecycle, point the vendor to OWASP's Secure Coding Practices - Quick Reference Guide at https://www.owasp.org/index.php/OWASP_Secure_Coding_Practices_-_Quick_Reference_Guide
Inquire about the tools a vendor uses, the interval at which systems are monitored/mitigated, and who is responsible for the process/procedure in place for this monitoring.</t>
  </si>
  <si>
    <t>Many Higher Ed institutions are capable of performing vulnerability assessments and/or penetration testing on their vendor's infrastructures. This question confirms the possibility of conducting these actions against the vendor's infrastructure.</t>
  </si>
  <si>
    <t>Follow-up inquiries for vulnerability scanning and penetration testing will be institution/implementation specific.</t>
  </si>
  <si>
    <t>Follow-up inquiries for HIPAA requirements will be institution/implementation specific.</t>
  </si>
  <si>
    <t>Inquiry into a vendor's use of electronic health records (EHRs).</t>
  </si>
  <si>
    <t>§164.308(a)(1)(ii)(D)</t>
  </si>
  <si>
    <t>Follow-up inquiries for PCI DSS requirements will be institution/implementation specific.</t>
  </si>
  <si>
    <t>HECVAT - Full - Summary Report</t>
  </si>
  <si>
    <t>Vendor</t>
  </si>
  <si>
    <t>Product</t>
  </si>
  <si>
    <t>Description</t>
  </si>
  <si>
    <t>Overall Score:</t>
  </si>
  <si>
    <t>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</si>
  <si>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</si>
  <si>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</si>
  <si>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</si>
  <si>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</si>
  <si>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</si>
  <si>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</si>
  <si>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</si>
  <si>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</si>
  <si>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</si>
  <si>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</si>
  <si>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</si>
  <si>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</si>
  <si>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</si>
  <si>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Mobile device policy</t>
  </si>
  <si>
    <t>6.2.2</t>
  </si>
  <si>
    <t>Teleworking</t>
  </si>
  <si>
    <t>Screening</t>
  </si>
  <si>
    <t>Terms and conditions of employment</t>
  </si>
  <si>
    <t>7.2.1</t>
  </si>
  <si>
    <t>Management responsibilities</t>
  </si>
  <si>
    <t>Information security awareness, education and training</t>
  </si>
  <si>
    <t>7.2.3</t>
  </si>
  <si>
    <t>Disciplinary process</t>
  </si>
  <si>
    <t>7.3.1</t>
  </si>
  <si>
    <t>Termination or change of employment responsibilities</t>
  </si>
  <si>
    <t>8.1.1</t>
  </si>
  <si>
    <t>Inventory of assets</t>
  </si>
  <si>
    <t>Ownership of assets</t>
  </si>
  <si>
    <t>8.1.3</t>
  </si>
  <si>
    <t>Acceptable use of assets</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</si>
  <si>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</si>
  <si>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</si>
  <si>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</si>
  <si>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</si>
  <si>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</si>
  <si>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</si>
  <si>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</si>
  <si>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</si>
  <si>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</si>
  <si>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</si>
  <si>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</si>
  <si>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</si>
  <si>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Access to networks and network services</t>
  </si>
  <si>
    <t>9.2.1</t>
  </si>
  <si>
    <t>User registration and de-registration</t>
  </si>
  <si>
    <t>9.2.2</t>
  </si>
  <si>
    <t>User access provisioning</t>
  </si>
  <si>
    <t>Management of privileged access rights</t>
  </si>
  <si>
    <t>9.2.4</t>
  </si>
  <si>
    <t>Management of secret authentication information of users</t>
  </si>
  <si>
    <t>Review of user access rights</t>
  </si>
  <si>
    <t>Removal or adjustment of access rights</t>
  </si>
  <si>
    <t>9.3.1</t>
  </si>
  <si>
    <t>Use of secret authentication information</t>
  </si>
  <si>
    <t>9.4.1</t>
  </si>
  <si>
    <t>Information access restriction</t>
  </si>
  <si>
    <t>Secure log-on procedures</t>
  </si>
  <si>
    <t>Password management system</t>
  </si>
  <si>
    <t>9.4.4</t>
  </si>
  <si>
    <t>Use of privileged utility programs</t>
  </si>
  <si>
    <t>9.4.5</t>
  </si>
  <si>
    <t>Access control to program source code</t>
  </si>
  <si>
    <t>Policy on the use of cryptographic controls</t>
  </si>
  <si>
    <t>Key management</t>
  </si>
  <si>
    <t>Physical security perimeter</t>
  </si>
  <si>
    <t>Physical entry controls</t>
  </si>
  <si>
    <t>11.1.3</t>
  </si>
  <si>
    <t>Securing offices, rooms and facilities</t>
  </si>
  <si>
    <t>Protecting against external and environmental threats</t>
  </si>
  <si>
    <t>11.1.5</t>
  </si>
  <si>
    <t>Working in secure areas</t>
  </si>
  <si>
    <t>11.1.6</t>
  </si>
  <si>
    <t>Delivery and loading areas</t>
  </si>
  <si>
    <t>Equipment siting and protection</t>
  </si>
  <si>
    <t>11.2.2</t>
  </si>
  <si>
    <t>Supporting utilities</t>
  </si>
  <si>
    <t>11.2.3</t>
  </si>
  <si>
    <t>Cabling security</t>
  </si>
  <si>
    <t>11.2.4</t>
  </si>
  <si>
    <t>Equipment maintenance</t>
  </si>
  <si>
    <t>11.2.5</t>
  </si>
  <si>
    <t>Removal of assets</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</si>
  <si>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</si>
  <si>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</si>
  <si>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</si>
  <si>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</si>
  <si>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</si>
  <si>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</si>
  <si>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</si>
  <si>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</si>
  <si>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</si>
  <si>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</si>
  <si>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</si>
  <si>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</si>
  <si>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</si>
  <si>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</si>
  <si>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</si>
  <si>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</si>
  <si>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</si>
  <si>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</si>
  <si>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</si>
  <si>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</si>
  <si>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</si>
  <si>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</si>
  <si>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Installation of software on operational systems</t>
  </si>
  <si>
    <t>Management of technical vulnerabilities</t>
  </si>
  <si>
    <t>12.6.2</t>
  </si>
  <si>
    <t>Restrictions on software installation</t>
  </si>
  <si>
    <t>Information systems audit controls</t>
  </si>
  <si>
    <t xml:space="preserve">Network controls </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</si>
  <si>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</si>
  <si>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</si>
  <si>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</si>
  <si>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</si>
  <si>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</si>
  <si>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</si>
  <si>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</si>
  <si>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</si>
  <si>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</si>
  <si>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</si>
  <si>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</si>
  <si>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</si>
  <si>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</si>
  <si>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</si>
  <si>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</si>
  <si>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</si>
  <si>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</si>
  <si>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</si>
  <si>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</si>
  <si>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</si>
  <si>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</si>
  <si>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</si>
  <si>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</si>
  <si>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</si>
  <si>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</si>
  <si>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</si>
  <si>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</si>
  <si>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</si>
  <si>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</si>
  <si>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System security testing</t>
  </si>
  <si>
    <t>14.2.9</t>
  </si>
  <si>
    <t>System acceptance testing</t>
  </si>
  <si>
    <t>14.3.1</t>
  </si>
  <si>
    <t>Protection of test data</t>
  </si>
  <si>
    <t>15.1.1</t>
  </si>
  <si>
    <t>Information security policy for supplier relationships</t>
  </si>
  <si>
    <t>15.1.2</t>
  </si>
  <si>
    <t>Addressing security within supplier agreements</t>
  </si>
  <si>
    <t>Information and communication technology supply chain</t>
  </si>
  <si>
    <t>Monitoring and review of supplier services</t>
  </si>
  <si>
    <t>15.2.2</t>
  </si>
  <si>
    <t>Managing changes to supplier services</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</si>
  <si>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</si>
  <si>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</si>
  <si>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</si>
  <si>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</si>
  <si>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</si>
  <si>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</si>
  <si>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</si>
  <si>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</si>
  <si>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</si>
  <si>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</si>
  <si>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</si>
  <si>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</si>
  <si>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</si>
  <si>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</si>
  <si>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</si>
  <si>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</si>
  <si>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</si>
  <si>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</si>
  <si>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</si>
  <si>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</si>
  <si>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</si>
  <si>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</si>
  <si>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</si>
  <si>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</si>
  <si>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Independent review of information security</t>
  </si>
  <si>
    <t>18.2.2</t>
  </si>
  <si>
    <t>Compliance with security policies and standards</t>
  </si>
  <si>
    <t>18.2.3</t>
  </si>
  <si>
    <t>Technical compliance review</t>
  </si>
  <si>
    <t>Handling of assets; Policy on the use of cryptographic controls</t>
  </si>
  <si>
    <t>11.1.1,11.1.2</t>
  </si>
  <si>
    <t>Physical security perimeter; Physical entry controls</t>
  </si>
  <si>
    <t>Management of privileged access rights; Use of secret authentication information; Password management system</t>
  </si>
  <si>
    <t>Access control policy; Management of privileged access rights; Use of secret authentication information; Password management system</t>
  </si>
  <si>
    <t>Inventory of Authorized and Unauthorized Devices</t>
  </si>
  <si>
    <t>Inventory of Authorized and Unauthorized Software</t>
  </si>
  <si>
    <t>Secure Configurations for Hardware and Software</t>
  </si>
  <si>
    <t>Continuous Vulnerability Assessment and Remediation</t>
  </si>
  <si>
    <t>Malware Defenses</t>
  </si>
  <si>
    <t>Application Software Security</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</si>
  <si>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</si>
  <si>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</si>
  <si>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</si>
  <si>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</si>
  <si>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</si>
  <si>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</si>
  <si>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</si>
  <si>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</si>
  <si>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</si>
  <si>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</si>
  <si>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</si>
  <si>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</si>
  <si>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</si>
  <si>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</si>
  <si>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</si>
  <si>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</si>
  <si>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</si>
  <si>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</si>
  <si>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</si>
  <si>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</si>
  <si>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</si>
  <si>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</si>
  <si>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</si>
  <si>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</si>
  <si>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</si>
  <si>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</si>
  <si>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</si>
  <si>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</si>
  <si>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</si>
  <si>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</si>
  <si>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</si>
  <si>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</si>
  <si>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</si>
  <si>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</si>
  <si>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</si>
  <si>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</si>
  <si>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</si>
  <si>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</si>
  <si>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</si>
  <si>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</si>
  <si>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</si>
  <si>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</si>
  <si>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</si>
  <si>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</si>
  <si>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</si>
  <si>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</si>
  <si>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</si>
  <si>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</si>
  <si>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</si>
  <si>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</si>
  <si>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</si>
  <si>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</si>
  <si>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</si>
  <si>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</si>
  <si>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</si>
  <si>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</si>
  <si>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</si>
  <si>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</si>
  <si>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</si>
  <si>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</si>
  <si>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</si>
  <si>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</si>
  <si>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</si>
  <si>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</si>
  <si>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</si>
  <si>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</si>
  <si>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</si>
  <si>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</si>
  <si>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</si>
  <si>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</si>
  <si>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</si>
  <si>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</si>
  <si>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</si>
  <si>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</si>
  <si>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</si>
  <si>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</si>
  <si>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</si>
  <si>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 xml:space="preserve"> Data-in-transit is protected</t>
  </si>
  <si>
    <t xml:space="preserve"> Assets are formally managed throughout removal, transfers, and disposition</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</si>
  <si>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</si>
  <si>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</si>
  <si>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</si>
  <si>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 xml:space="preserve"> The development and testing environment(s) are separate from the production environment</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</si>
  <si>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</si>
  <si>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</si>
  <si>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</si>
  <si>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</si>
  <si>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</si>
  <si>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</si>
  <si>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</si>
  <si>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</si>
  <si>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</si>
  <si>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</si>
  <si>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</si>
  <si>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</si>
  <si>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</si>
  <si>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</si>
  <si>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</si>
  <si>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 xml:space="preserve"> Cybersecurity is included in human resources practices (e.g., deprovisioning, personnel screening)</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</si>
  <si>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</si>
  <si>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</si>
  <si>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</si>
  <si>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</si>
  <si>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</si>
  <si>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</si>
  <si>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</si>
  <si>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</si>
  <si>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</si>
  <si>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</si>
  <si>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</si>
  <si>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</si>
  <si>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</si>
  <si>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</si>
  <si>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</si>
  <si>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</si>
  <si>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</si>
  <si>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</si>
  <si>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</si>
  <si>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</si>
  <si>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 xml:space="preserve"> The network is monitored to detect potential cybersecurity events</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</si>
  <si>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</si>
  <si>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</si>
  <si>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</si>
  <si>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</si>
  <si>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</si>
  <si>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</si>
  <si>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</si>
  <si>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</si>
  <si>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</si>
  <si>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</si>
  <si>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</si>
  <si>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</si>
  <si>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</si>
  <si>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</si>
  <si>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</si>
  <si>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</si>
  <si>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</si>
  <si>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</si>
  <si>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</si>
  <si>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</si>
  <si>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</si>
  <si>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</si>
  <si>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</si>
  <si>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</si>
  <si>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</si>
  <si>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</si>
  <si>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</si>
  <si>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</si>
  <si>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</si>
  <si>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</si>
  <si>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</si>
  <si>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</si>
  <si>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</si>
  <si>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</si>
  <si>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</si>
  <si>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</si>
  <si>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</si>
  <si>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</si>
  <si>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</si>
  <si>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</si>
  <si>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</si>
  <si>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</si>
  <si>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</si>
  <si>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</si>
  <si>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</si>
  <si>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</si>
  <si>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</si>
  <si>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</si>
  <si>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</si>
  <si>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</si>
  <si>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</si>
  <si>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</si>
  <si>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</si>
  <si>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</si>
  <si>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</si>
  <si>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</si>
  <si>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</si>
  <si>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</si>
  <si>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</si>
  <si>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</si>
  <si>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</si>
  <si>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</si>
  <si>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</si>
  <si>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 xml:space="preserve"> Access permissions are managed, incorporating the principles of least privilege and separation of duties;  Access to systems and assets is controlled, incorporating the principle of least functionality</t>
  </si>
  <si>
    <t xml:space="preserve"> Physical devices and systems within the organization are inventoried;  Software platforms and applications within the organization are inventoried;  Organizational communication and data flows are mapped</t>
  </si>
  <si>
    <t xml:space="preserve"> Identities and credentials are managed for authorized devices and users;  Access permissions are managed, incorporating the principles of least privilege and separation of duties</t>
  </si>
  <si>
    <t xml:space="preserve"> Physical access to assets is managed and protected;  Policy and regulations regarding the physical operating environment for organizational assets are met</t>
  </si>
  <si>
    <t xml:space="preserve"> Data-at-rest is protected;  Data-in-transit is protected</t>
  </si>
  <si>
    <t xml:space="preserve"> The network is monitored to detect potential cybersecurity events;  The physical environment is monitored to detect potential cybersecurity events;  Monitoring for unauthorized personnel, connections, devices, and software is performed</t>
  </si>
  <si>
    <t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t>
  </si>
  <si>
    <t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t>
  </si>
  <si>
    <t xml:space="preserve"> A baseline configuration of information technology/industrial control systems is created and maintained;  A System Development Life Cycle to manage systems is implemented</t>
  </si>
  <si>
    <t>Limit system access to authorized users, processes acting on behalf of authorized users, and devices (including other systems).</t>
  </si>
  <si>
    <t>Limit system access to the types of transactions and functions that authorized users are permitted to execute.</t>
  </si>
  <si>
    <t>Control the flow of CUI in accordance with approved authorizations.</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</si>
  <si>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</si>
  <si>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</si>
  <si>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</si>
  <si>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</si>
  <si>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</si>
  <si>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Prevent non-privileged users from executing privileged functions and capture the execution of such functions in audit logs.</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</si>
  <si>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</si>
  <si>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</si>
  <si>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</si>
  <si>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</si>
  <si>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</si>
  <si>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</si>
  <si>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</si>
  <si>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</si>
  <si>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</si>
  <si>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</si>
  <si>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</si>
  <si>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</si>
  <si>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</si>
  <si>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</si>
  <si>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</si>
  <si>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</si>
  <si>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</si>
  <si>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</si>
  <si>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</si>
  <si>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</si>
  <si>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</si>
  <si>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Encrypt CUI on mobile devices and mobile computing platforms.21</t>
  </si>
  <si>
    <t>3.1.20</t>
  </si>
  <si>
    <t>Verify and control/limit connections to and use of external systems.</t>
  </si>
  <si>
    <t>3.1.21</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</si>
  <si>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</si>
  <si>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</si>
  <si>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</si>
  <si>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</si>
  <si>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3.2.3</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</si>
  <si>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</si>
  <si>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</si>
  <si>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</si>
  <si>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</si>
  <si>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</si>
  <si>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</si>
  <si>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</si>
  <si>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</si>
  <si>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</si>
  <si>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</si>
  <si>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</si>
  <si>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</si>
  <si>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</si>
  <si>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</si>
  <si>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</si>
  <si>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</si>
  <si>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</si>
  <si>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</si>
  <si>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</si>
  <si>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</si>
  <si>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</si>
  <si>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</si>
  <si>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</si>
  <si>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</si>
  <si>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</si>
  <si>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</si>
  <si>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</si>
  <si>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</si>
  <si>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</si>
  <si>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</si>
  <si>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</si>
  <si>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</si>
  <si>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</si>
  <si>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</si>
  <si>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</si>
  <si>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</si>
  <si>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</si>
  <si>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</si>
  <si>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</si>
  <si>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</si>
  <si>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</si>
  <si>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</si>
  <si>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Disable identifiers after a defined period of inactivity.</t>
  </si>
  <si>
    <t>Enforce a minimum password complexity and change of characters when new passwords are created.</t>
  </si>
  <si>
    <t>3.5.8</t>
  </si>
  <si>
    <t>Prohibit password reuse for a specified number of generations.</t>
  </si>
  <si>
    <t>Allow temporary password use for system logons with an immediate change to a permanent password.</t>
  </si>
  <si>
    <t>Store and transmit only cryptographically-protected passwords.</t>
  </si>
  <si>
    <t>3.5.11</t>
  </si>
  <si>
    <t>Obscure feedback of authentication information.</t>
  </si>
  <si>
    <t>3.6.1</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</si>
  <si>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</si>
  <si>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</si>
  <si>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</si>
  <si>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</si>
  <si>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</si>
  <si>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</si>
  <si>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</si>
  <si>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</si>
  <si>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</si>
  <si>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</si>
  <si>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</si>
  <si>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</si>
  <si>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</si>
  <si>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</si>
  <si>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</si>
  <si>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</si>
  <si>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</si>
  <si>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</si>
  <si>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</si>
  <si>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</si>
  <si>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</si>
  <si>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</si>
  <si>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</si>
  <si>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</si>
  <si>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</si>
  <si>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</si>
  <si>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</si>
  <si>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</si>
  <si>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</si>
  <si>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</si>
  <si>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</si>
  <si>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</si>
  <si>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</si>
  <si>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</si>
  <si>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</si>
  <si>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</si>
  <si>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</si>
  <si>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</si>
  <si>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</si>
  <si>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</si>
  <si>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</si>
  <si>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</si>
  <si>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</si>
  <si>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</si>
  <si>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</si>
  <si>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</si>
  <si>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</si>
  <si>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</si>
  <si>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</si>
  <si>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</si>
  <si>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</si>
  <si>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</si>
  <si>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</si>
  <si>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</si>
  <si>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</si>
  <si>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</si>
  <si>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</si>
  <si>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</si>
  <si>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</si>
  <si>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</si>
  <si>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</si>
  <si>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</si>
  <si>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</si>
  <si>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</si>
  <si>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</si>
  <si>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</si>
  <si>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</si>
  <si>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</si>
  <si>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</si>
  <si>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</si>
  <si>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</si>
  <si>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</si>
  <si>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</si>
  <si>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</si>
  <si>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</si>
  <si>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</si>
  <si>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</si>
  <si>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</si>
  <si>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</si>
  <si>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</si>
  <si>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</si>
  <si>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</si>
  <si>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</si>
  <si>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</si>
  <si>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</si>
  <si>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</si>
  <si>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</si>
  <si>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</si>
  <si>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</si>
  <si>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</si>
  <si>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</si>
  <si>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</si>
  <si>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</si>
  <si>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</si>
  <si>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</si>
  <si>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</si>
  <si>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</si>
  <si>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</si>
  <si>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</si>
  <si>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</si>
  <si>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3.1.1, 3.1.2, 3.1.7</t>
  </si>
  <si>
    <t>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t>
  </si>
  <si>
    <t>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t>
  </si>
  <si>
    <t>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t>
  </si>
  <si>
    <t>Track, review, approve or disapprove, and log changes to organizational systems.; Analyze the security impact of changes prior to implementation.</t>
  </si>
  <si>
    <t>Control the flow of CUI in accordance with approved authorizations.;Protect (i.e., physically control and securely store) system media containing CUI, both paper and digital.</t>
  </si>
  <si>
    <t>Encrypt CUI on mobile devices and mobile computing platforms.21;Protect (i.e., physically control and securely store) system media containing CUI, both paper and digital.</t>
  </si>
  <si>
    <t>Perform maintenance on organizational systems.;Provide controls on the tools, techniques, mechanisms, and personnel used to conduct system maintenance.;Sanitize or destroy system media containing CUI before disposal or release for reuse.</t>
  </si>
  <si>
    <t>Protect (i.e., physically control and securely store) system media containing CUI, both paper and digital.;Limit access to CUI on system media to authorized users.</t>
  </si>
  <si>
    <t>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t>
  </si>
  <si>
    <t>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t>
  </si>
  <si>
    <t>Protect (i.e., physically control and securely store) system media containing CUI, both paper and digital.;Control access to media containing CUI and maintain accountability for media during transport outside of controlled areas.;Control the use of removable media on system components.</t>
  </si>
  <si>
    <t>Screen individuals prior to authorizing access to organizational systems containing CUI.;Ensure that organizational systems containing CUI are protected during and after personnel actions such as terminations and transfers.</t>
  </si>
  <si>
    <t>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t>
  </si>
  <si>
    <t>Control connection of mobile devices.;Perform maintenance on organizational systems.;Separate user functionality from system management functionality.</t>
  </si>
  <si>
    <t>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t>
  </si>
  <si>
    <r>
      <rPr>
        <rFont val="Helvetica"/>
        <color rgb="FF231F20"/>
        <sz val="10.0"/>
      </rPr>
      <t>AC-1</t>
    </r>
  </si>
  <si>
    <r>
      <rPr>
        <rFont val="Helvetica"/>
        <color rgb="FF231F20"/>
        <sz val="10.0"/>
      </rPr>
      <t>Access Control Policy and Procedures</t>
    </r>
  </si>
  <si>
    <r>
      <rPr>
        <rFont val="Helvetica"/>
        <color rgb="FF231F20"/>
        <sz val="10.0"/>
      </rPr>
      <t>AC-2</t>
    </r>
  </si>
  <si>
    <r>
      <rPr>
        <rFont val="Helvetica"/>
        <color rgb="FF231F20"/>
        <sz val="10.0"/>
      </rPr>
      <t>Account Management</t>
    </r>
  </si>
  <si>
    <r>
      <rPr>
        <rFont val="Helvetica"/>
        <color rgb="FF231F20"/>
        <sz val="10.0"/>
      </rPr>
      <t>AC-3</t>
    </r>
  </si>
  <si>
    <r>
      <rPr>
        <rFont val="Helvetica"/>
        <color rgb="FF231F20"/>
        <sz val="10.0"/>
      </rPr>
      <t>Access Enforcement</t>
    </r>
  </si>
  <si>
    <r>
      <rPr>
        <rFont val="Helvetica"/>
        <color rgb="FF231F20"/>
        <sz val="10.0"/>
      </rPr>
      <t>AC-4</t>
    </r>
  </si>
  <si>
    <r>
      <rPr>
        <rFont val="Helvetica"/>
        <color rgb="FF231F20"/>
        <sz val="10.0"/>
      </rPr>
      <t>Information Flow Enforcement</t>
    </r>
  </si>
  <si>
    <r>
      <rPr>
        <rFont val="Helvetica"/>
        <color rgb="FF231F20"/>
        <sz val="10.0"/>
      </rPr>
      <t>AC-5</t>
    </r>
  </si>
  <si>
    <r>
      <rPr>
        <rFont val="Helvetica"/>
        <color rgb="FF231F20"/>
        <sz val="10.0"/>
      </rPr>
      <t>Separation of Duties</t>
    </r>
  </si>
  <si>
    <r>
      <rPr>
        <rFont val="Helvetica"/>
        <color rgb="FF231F20"/>
        <sz val="10.0"/>
      </rPr>
      <t>AC-6</t>
    </r>
  </si>
  <si>
    <r>
      <rPr>
        <rFont val="Helvetica"/>
        <color rgb="FF231F20"/>
        <sz val="10.0"/>
      </rPr>
      <t>Least Privilege</t>
    </r>
  </si>
  <si>
    <t>AC-6(9)</t>
  </si>
  <si>
    <t>Access Control: Auditing use of privileged functions</t>
  </si>
  <si>
    <r>
      <rPr>
        <rFont val="Helvetica"/>
        <color rgb="FF231F20"/>
        <sz val="10.0"/>
      </rPr>
      <t>AC-7</t>
    </r>
  </si>
  <si>
    <r>
      <rPr>
        <rFont val="Helvetica"/>
        <color rgb="FF231F20"/>
        <sz val="10.0"/>
      </rPr>
      <t>Unsuccessful Logon Attempts</t>
    </r>
  </si>
  <si>
    <r>
      <rPr>
        <rFont val="Helvetica"/>
        <color rgb="FF231F20"/>
        <sz val="10.0"/>
      </rPr>
      <t>AC-8</t>
    </r>
  </si>
  <si>
    <r>
      <rPr>
        <rFont val="Helvetica"/>
        <color rgb="FF231F20"/>
        <sz val="10.0"/>
      </rPr>
      <t>System Use Notification</t>
    </r>
  </si>
  <si>
    <r>
      <rPr>
        <rFont val="Helvetica"/>
        <color rgb="FF231F20"/>
        <sz val="10.0"/>
      </rPr>
      <t>AC-9</t>
    </r>
  </si>
  <si>
    <r>
      <rPr>
        <rFont val="Helvetica"/>
        <color rgb="FF231F20"/>
        <sz val="10.0"/>
      </rPr>
      <t>Previous Logon (Access) Notification</t>
    </r>
  </si>
  <si>
    <r>
      <rPr>
        <rFont val="Helvetica"/>
        <color rgb="FF231F20"/>
        <sz val="10.0"/>
      </rPr>
      <t>AC-10</t>
    </r>
  </si>
  <si>
    <r>
      <rPr>
        <rFont val="Helvetica"/>
        <color rgb="FF231F20"/>
        <sz val="10.0"/>
      </rPr>
      <t>Concurrent Session Control</t>
    </r>
  </si>
  <si>
    <r>
      <rPr>
        <rFont val="Helvetica"/>
        <color rgb="FF231F20"/>
        <sz val="10.0"/>
      </rPr>
      <t>AC-11</t>
    </r>
  </si>
  <si>
    <r>
      <rPr>
        <rFont val="Helvetica"/>
        <color rgb="FF231F20"/>
        <sz val="10.0"/>
      </rPr>
      <t>Session Lock</t>
    </r>
  </si>
  <si>
    <r>
      <rPr>
        <rFont val="Helvetica"/>
        <color rgb="FF231F20"/>
        <sz val="10.0"/>
      </rPr>
      <t>AC-12</t>
    </r>
  </si>
  <si>
    <r>
      <rPr>
        <rFont val="Helvetica"/>
        <color rgb="FF231F20"/>
        <sz val="10.0"/>
      </rPr>
      <t>Session Termination</t>
    </r>
  </si>
  <si>
    <r>
      <rPr>
        <rFont val="Helvetica"/>
        <color rgb="FF231F20"/>
        <sz val="10.0"/>
      </rPr>
      <t>AC-13</t>
    </r>
  </si>
  <si>
    <r>
      <rPr>
        <rFont val="Helvetica"/>
        <b/>
        <color rgb="FF231F20"/>
        <sz val="10.0"/>
      </rPr>
      <t>Withdrawn</t>
    </r>
  </si>
  <si>
    <r>
      <rPr>
        <rFont val="Helvetica"/>
        <color rgb="FF231F20"/>
        <sz val="10.0"/>
      </rPr>
      <t>AC-14</t>
    </r>
  </si>
  <si>
    <t>Permitted Actions without Identification or Authentication</t>
  </si>
  <si>
    <r>
      <rPr>
        <rFont val="Helvetica"/>
        <color rgb="FF231F20"/>
        <sz val="10.0"/>
      </rPr>
      <t>AC-15</t>
    </r>
  </si>
  <si>
    <r>
      <rPr>
        <rFont val="Helvetica"/>
        <b/>
        <color rgb="FF231F20"/>
        <sz val="10.0"/>
      </rPr>
      <t>Withdrawn</t>
    </r>
  </si>
  <si>
    <r>
      <rPr>
        <rFont val="Helvetica"/>
        <color rgb="FF231F20"/>
        <sz val="10.0"/>
      </rPr>
      <t>AC-16</t>
    </r>
  </si>
  <si>
    <r>
      <rPr>
        <rFont val="Helvetica"/>
        <color rgb="FF231F20"/>
        <sz val="10.0"/>
      </rPr>
      <t>Security Attributes</t>
    </r>
  </si>
  <si>
    <r>
      <rPr>
        <rFont val="Helvetica"/>
        <color rgb="FF231F20"/>
        <sz val="10.0"/>
      </rPr>
      <t>AC-17</t>
    </r>
  </si>
  <si>
    <r>
      <rPr>
        <rFont val="Helvetica"/>
        <color rgb="FF231F20"/>
        <sz val="10.0"/>
      </rPr>
      <t>Remote Access</t>
    </r>
  </si>
  <si>
    <r>
      <rPr>
        <rFont val="Helvetica"/>
        <color rgb="FF231F20"/>
        <sz val="10.0"/>
      </rPr>
      <t>AC-18</t>
    </r>
  </si>
  <si>
    <r>
      <rPr>
        <rFont val="Helvetica"/>
        <color rgb="FF231F20"/>
        <sz val="10.0"/>
      </rPr>
      <t>Wireless Access</t>
    </r>
  </si>
  <si>
    <r>
      <rPr>
        <rFont val="Helvetica"/>
        <color rgb="FF231F20"/>
        <sz val="10.0"/>
      </rPr>
      <t>AC-19</t>
    </r>
  </si>
  <si>
    <r>
      <rPr>
        <rFont val="Helvetica"/>
        <color rgb="FF231F20"/>
        <sz val="10.0"/>
      </rPr>
      <t>Access Control for Mobile Devices</t>
    </r>
  </si>
  <si>
    <t>Access Control: Full device / container based encryption</t>
  </si>
  <si>
    <r>
      <rPr>
        <rFont val="Helvetica"/>
        <color rgb="FF231F20"/>
        <sz val="10.0"/>
      </rPr>
      <t>AC-20</t>
    </r>
  </si>
  <si>
    <r>
      <rPr>
        <rFont val="Helvetica"/>
        <color rgb="FF231F20"/>
        <sz val="10.0"/>
      </rPr>
      <t>Use of External Information Systems</t>
    </r>
  </si>
  <si>
    <r>
      <rPr>
        <rFont val="Helvetica"/>
        <color rgb="FF231F20"/>
        <sz val="10.0"/>
      </rPr>
      <t>AC-21</t>
    </r>
  </si>
  <si>
    <r>
      <rPr>
        <rFont val="Helvetica"/>
        <color rgb="FF231F20"/>
        <sz val="10.0"/>
      </rPr>
      <t>Information Sharing</t>
    </r>
  </si>
  <si>
    <r>
      <rPr>
        <rFont val="Helvetica"/>
        <color rgb="FF231F20"/>
        <sz val="10.0"/>
      </rPr>
      <t>AC-22</t>
    </r>
  </si>
  <si>
    <r>
      <rPr>
        <rFont val="Helvetica"/>
        <color rgb="FF231F20"/>
        <sz val="10.0"/>
      </rPr>
      <t>Publicly Accessible Content</t>
    </r>
  </si>
  <si>
    <r>
      <rPr>
        <rFont val="Helvetica"/>
        <color rgb="FF231F20"/>
        <sz val="10.0"/>
      </rPr>
      <t>AC-23</t>
    </r>
  </si>
  <si>
    <r>
      <rPr>
        <rFont val="Helvetica"/>
        <color rgb="FF231F20"/>
        <sz val="10.0"/>
      </rPr>
      <t>Data Mining Protection</t>
    </r>
  </si>
  <si>
    <r>
      <rPr>
        <rFont val="Helvetica"/>
        <color rgb="FF231F20"/>
        <sz val="10.0"/>
      </rPr>
      <t>AC-24</t>
    </r>
  </si>
  <si>
    <r>
      <rPr>
        <rFont val="Helvetica"/>
        <color rgb="FF231F20"/>
        <sz val="10.0"/>
      </rPr>
      <t>Access Control Decisions</t>
    </r>
  </si>
  <si>
    <r>
      <rPr>
        <rFont val="Helvetica"/>
        <color rgb="FF231F20"/>
        <sz val="10.0"/>
      </rPr>
      <t>AC-25</t>
    </r>
  </si>
  <si>
    <r>
      <rPr>
        <rFont val="Helvetica"/>
        <color rgb="FF231F20"/>
        <sz val="10.0"/>
      </rPr>
      <t>Reference Monitor</t>
    </r>
  </si>
  <si>
    <r>
      <rPr>
        <rFont val="Helvetica"/>
        <color rgb="FF231F20"/>
        <sz val="10.0"/>
      </rPr>
      <t>AT-1</t>
    </r>
  </si>
  <si>
    <t>Security Awareness and Training Policy and Procedures</t>
  </si>
  <si>
    <r>
      <rPr>
        <rFont val="Helvetica"/>
        <color rgb="FF231F20"/>
        <sz val="10.0"/>
      </rPr>
      <t>AT-2</t>
    </r>
  </si>
  <si>
    <r>
      <rPr>
        <rFont val="Helvetica"/>
        <color rgb="FF231F20"/>
        <sz val="10.0"/>
      </rPr>
      <t>Security Awareness Training</t>
    </r>
  </si>
  <si>
    <r>
      <rPr>
        <rFont val="Helvetica"/>
        <color rgb="FF231F20"/>
        <sz val="10.0"/>
      </rPr>
      <t>AT-3</t>
    </r>
  </si>
  <si>
    <r>
      <rPr>
        <rFont val="Helvetica"/>
        <color rgb="FF231F20"/>
        <sz val="10.0"/>
      </rPr>
      <t>Role-Based Security Training</t>
    </r>
  </si>
  <si>
    <r>
      <rPr>
        <rFont val="Helvetica"/>
        <color rgb="FF231F20"/>
        <sz val="10.0"/>
      </rPr>
      <t>AT-4</t>
    </r>
  </si>
  <si>
    <r>
      <rPr>
        <rFont val="Helvetica"/>
        <color rgb="FF231F20"/>
        <sz val="10.0"/>
      </rPr>
      <t>Security Training Records</t>
    </r>
  </si>
  <si>
    <r>
      <rPr>
        <rFont val="Helvetica"/>
        <color rgb="FF231F20"/>
        <sz val="10.0"/>
      </rPr>
      <t>AT-5</t>
    </r>
  </si>
  <si>
    <r>
      <rPr>
        <rFont val="Helvetica"/>
        <b/>
        <color rgb="FF231F20"/>
        <sz val="10.0"/>
      </rPr>
      <t>Withdrawn</t>
    </r>
  </si>
  <si>
    <r>
      <rPr>
        <rFont val="Helvetica"/>
        <color rgb="FF231F20"/>
        <sz val="10.0"/>
      </rPr>
      <t>AU-1</t>
    </r>
  </si>
  <si>
    <t>Audit and Accountability Policy and Procedures</t>
  </si>
  <si>
    <r>
      <rPr>
        <rFont val="Helvetica"/>
        <color rgb="FF231F20"/>
        <sz val="10.0"/>
      </rPr>
      <t>AU-2</t>
    </r>
  </si>
  <si>
    <r>
      <rPr>
        <rFont val="Helvetica"/>
        <color rgb="FF231F20"/>
        <sz val="10.0"/>
      </rPr>
      <t>Audit Events</t>
    </r>
  </si>
  <si>
    <t>AU-2(3)</t>
  </si>
  <si>
    <t>Audit and Accountability: reviews and updates</t>
  </si>
  <si>
    <r>
      <rPr>
        <rFont val="Helvetica"/>
        <color rgb="FF231F20"/>
        <sz val="10.0"/>
      </rPr>
      <t>AU-3</t>
    </r>
  </si>
  <si>
    <r>
      <rPr>
        <rFont val="Helvetica"/>
        <color rgb="FF231F20"/>
        <sz val="10.0"/>
      </rPr>
      <t>Content of Audit Records</t>
    </r>
  </si>
  <si>
    <r>
      <rPr>
        <rFont val="Helvetica"/>
        <color rgb="FF231F20"/>
        <sz val="10.0"/>
      </rPr>
      <t>AU-4</t>
    </r>
  </si>
  <si>
    <r>
      <rPr>
        <rFont val="Helvetica"/>
        <color rgb="FF231F20"/>
        <sz val="10.0"/>
      </rPr>
      <t>Audit Storage Capacity</t>
    </r>
  </si>
  <si>
    <r>
      <rPr>
        <rFont val="Helvetica"/>
        <color rgb="FF231F20"/>
        <sz val="10.0"/>
      </rPr>
      <t>AU-5</t>
    </r>
  </si>
  <si>
    <r>
      <rPr>
        <rFont val="Helvetica"/>
        <color rgb="FF231F20"/>
        <sz val="10.0"/>
      </rPr>
      <t>Response to Audit Processing Failures</t>
    </r>
  </si>
  <si>
    <r>
      <rPr>
        <rFont val="Helvetica"/>
        <color rgb="FF231F20"/>
        <sz val="10.0"/>
      </rPr>
      <t>AU-6</t>
    </r>
  </si>
  <si>
    <r>
      <rPr>
        <rFont val="Helvetica"/>
        <color rgb="FF231F20"/>
        <sz val="10.0"/>
      </rPr>
      <t>Audit Review, Analysis, and Reporting</t>
    </r>
  </si>
  <si>
    <r>
      <rPr>
        <rFont val="Helvetica"/>
        <color rgb="FF231F20"/>
        <sz val="10.0"/>
      </rPr>
      <t>AU-7</t>
    </r>
  </si>
  <si>
    <r>
      <rPr>
        <rFont val="Helvetica"/>
        <color rgb="FF231F20"/>
        <sz val="10.0"/>
      </rPr>
      <t>Audit Reduction and Report Generation</t>
    </r>
  </si>
  <si>
    <r>
      <rPr>
        <rFont val="Helvetica"/>
        <color rgb="FF231F20"/>
        <sz val="10.0"/>
      </rPr>
      <t>AU-8</t>
    </r>
  </si>
  <si>
    <r>
      <rPr>
        <rFont val="Helvetica"/>
        <color rgb="FF231F20"/>
        <sz val="10.0"/>
      </rPr>
      <t>Time Stamps</t>
    </r>
  </si>
  <si>
    <r>
      <rPr>
        <rFont val="Helvetica"/>
        <color rgb="FF231F20"/>
        <sz val="10.0"/>
      </rPr>
      <t>AU-9</t>
    </r>
  </si>
  <si>
    <r>
      <rPr>
        <rFont val="Helvetica"/>
        <color rgb="FF231F20"/>
        <sz val="10.0"/>
      </rPr>
      <t>Protection of Audit Information</t>
    </r>
  </si>
  <si>
    <r>
      <rPr>
        <rFont val="Helvetica"/>
        <color rgb="FF231F20"/>
        <sz val="10.0"/>
      </rPr>
      <t>AU-10</t>
    </r>
  </si>
  <si>
    <r>
      <rPr>
        <rFont val="Helvetica"/>
        <color rgb="FF231F20"/>
        <sz val="10.0"/>
      </rPr>
      <t>Non-repudiation</t>
    </r>
  </si>
  <si>
    <r>
      <rPr>
        <rFont val="Helvetica"/>
        <color rgb="FF231F20"/>
        <sz val="10.0"/>
      </rPr>
      <t>AU-11</t>
    </r>
  </si>
  <si>
    <r>
      <rPr>
        <rFont val="Helvetica"/>
        <color rgb="FF231F20"/>
        <sz val="10.0"/>
      </rPr>
      <t>Audit Record Retention</t>
    </r>
  </si>
  <si>
    <r>
      <rPr>
        <rFont val="Helvetica"/>
        <color rgb="FF231F20"/>
        <sz val="10.0"/>
      </rPr>
      <t>AU-12</t>
    </r>
  </si>
  <si>
    <r>
      <rPr>
        <rFont val="Helvetica"/>
        <color rgb="FF231F20"/>
        <sz val="10.0"/>
      </rPr>
      <t>Audit Generation</t>
    </r>
  </si>
  <si>
    <r>
      <rPr>
        <rFont val="Helvetica"/>
        <color rgb="FF231F20"/>
        <sz val="10.0"/>
      </rPr>
      <t>AU-13</t>
    </r>
  </si>
  <si>
    <r>
      <rPr>
        <rFont val="Helvetica"/>
        <color rgb="FF231F20"/>
        <sz val="10.0"/>
      </rPr>
      <t>Monitoring for Information Disclosure</t>
    </r>
  </si>
  <si>
    <r>
      <rPr>
        <rFont val="Helvetica"/>
        <color rgb="FF231F20"/>
        <sz val="10.0"/>
      </rPr>
      <t>AU-14</t>
    </r>
  </si>
  <si>
    <r>
      <rPr>
        <rFont val="Helvetica"/>
        <color rgb="FF231F20"/>
        <sz val="10.0"/>
      </rPr>
      <t>Session Audit</t>
    </r>
  </si>
  <si>
    <r>
      <rPr>
        <rFont val="Helvetica"/>
        <color rgb="FF231F20"/>
        <sz val="10.0"/>
      </rPr>
      <t>AU-15</t>
    </r>
  </si>
  <si>
    <r>
      <rPr>
        <rFont val="Helvetica"/>
        <color rgb="FF231F20"/>
        <sz val="10.0"/>
      </rPr>
      <t>Alternate Audit Capability</t>
    </r>
  </si>
  <si>
    <r>
      <rPr>
        <rFont val="Helvetica"/>
        <color rgb="FF231F20"/>
        <sz val="10.0"/>
      </rPr>
      <t>AU-16</t>
    </r>
  </si>
  <si>
    <r>
      <rPr>
        <rFont val="Helvetica"/>
        <color rgb="FF231F20"/>
        <sz val="10.0"/>
      </rPr>
      <t>Cross-Organizational Auditing</t>
    </r>
  </si>
  <si>
    <r>
      <rPr>
        <rFont val="Helvetica"/>
        <color rgb="FF231F20"/>
        <sz val="10.0"/>
      </rPr>
      <t>CA-1</t>
    </r>
  </si>
  <si>
    <t>Security Assessment and Authorization Policies and Procedures</t>
  </si>
  <si>
    <r>
      <rPr>
        <rFont val="Helvetica"/>
        <color rgb="FF231F20"/>
        <sz val="10.0"/>
      </rPr>
      <t>CA-2</t>
    </r>
  </si>
  <si>
    <r>
      <rPr>
        <rFont val="Helvetica"/>
        <color rgb="FF231F20"/>
        <sz val="10.0"/>
      </rPr>
      <t>Security Assessments</t>
    </r>
  </si>
  <si>
    <r>
      <rPr>
        <rFont val="Helvetica"/>
        <color rgb="FF231F20"/>
        <sz val="10.0"/>
      </rPr>
      <t>CA-3</t>
    </r>
  </si>
  <si>
    <r>
      <rPr>
        <rFont val="Helvetica"/>
        <color rgb="FF231F20"/>
        <sz val="10.0"/>
      </rPr>
      <t>System Interconnections</t>
    </r>
  </si>
  <si>
    <r>
      <rPr>
        <rFont val="Helvetica"/>
        <color rgb="FF231F20"/>
        <sz val="10.0"/>
      </rPr>
      <t>CA-4</t>
    </r>
  </si>
  <si>
    <r>
      <rPr>
        <rFont val="Helvetica"/>
        <b/>
        <color rgb="FF231F20"/>
        <sz val="10.0"/>
      </rPr>
      <t>Withdrawn</t>
    </r>
  </si>
  <si>
    <r>
      <rPr>
        <rFont val="Helvetica"/>
        <color rgb="FF231F20"/>
        <sz val="10.0"/>
      </rPr>
      <t>CA-5</t>
    </r>
  </si>
  <si>
    <r>
      <rPr>
        <rFont val="Helvetica"/>
        <color rgb="FF231F20"/>
        <sz val="10.0"/>
      </rPr>
      <t>Plan of Action and Milestones</t>
    </r>
  </si>
  <si>
    <r>
      <rPr>
        <rFont val="Helvetica"/>
        <color rgb="FF231F20"/>
        <sz val="10.0"/>
      </rPr>
      <t>CA-6</t>
    </r>
  </si>
  <si>
    <r>
      <rPr>
        <rFont val="Helvetica"/>
        <color rgb="FF231F20"/>
        <sz val="10.0"/>
      </rPr>
      <t>Security Authorization</t>
    </r>
  </si>
  <si>
    <r>
      <rPr>
        <rFont val="Helvetica"/>
        <color rgb="FF231F20"/>
        <sz val="10.0"/>
      </rPr>
      <t>CA-7</t>
    </r>
  </si>
  <si>
    <r>
      <rPr>
        <rFont val="Helvetica"/>
        <color rgb="FF231F20"/>
        <sz val="10.0"/>
      </rPr>
      <t>Continuous Monitoring</t>
    </r>
  </si>
  <si>
    <r>
      <rPr>
        <rFont val="Helvetica"/>
        <color rgb="FF231F20"/>
        <sz val="10.0"/>
      </rPr>
      <t>CA-8</t>
    </r>
  </si>
  <si>
    <r>
      <rPr>
        <rFont val="Helvetica"/>
        <color rgb="FF231F20"/>
        <sz val="10.0"/>
      </rPr>
      <t>Penetration Testing</t>
    </r>
  </si>
  <si>
    <r>
      <rPr>
        <rFont val="Helvetica"/>
        <color rgb="FF231F20"/>
        <sz val="10.0"/>
      </rPr>
      <t>CA-9</t>
    </r>
  </si>
  <si>
    <r>
      <rPr>
        <rFont val="Helvetica"/>
        <color rgb="FF231F20"/>
        <sz val="10.0"/>
      </rPr>
      <t>Internal System Connections</t>
    </r>
  </si>
  <si>
    <r>
      <rPr>
        <rFont val="Helvetica"/>
        <color rgb="FF231F20"/>
        <sz val="10.0"/>
      </rPr>
      <t>CM-1</t>
    </r>
  </si>
  <si>
    <t>Configuration Management Policy and Procedures</t>
  </si>
  <si>
    <r>
      <rPr>
        <rFont val="Helvetica"/>
        <color rgb="FF231F20"/>
        <sz val="10.0"/>
      </rPr>
      <t>CM-2</t>
    </r>
  </si>
  <si>
    <r>
      <rPr>
        <rFont val="Helvetica"/>
        <color rgb="FF231F20"/>
        <sz val="10.0"/>
      </rPr>
      <t>Baseline Configuration</t>
    </r>
  </si>
  <si>
    <r>
      <rPr>
        <rFont val="Helvetica"/>
        <color rgb="FF231F20"/>
        <sz val="10.0"/>
      </rPr>
      <t>CM-3</t>
    </r>
  </si>
  <si>
    <r>
      <rPr>
        <rFont val="Helvetica"/>
        <color rgb="FF231F20"/>
        <sz val="10.0"/>
      </rPr>
      <t>Configuration Change Control</t>
    </r>
  </si>
  <si>
    <r>
      <rPr>
        <rFont val="Helvetica"/>
        <color rgb="FF231F20"/>
        <sz val="10.0"/>
      </rPr>
      <t>CM-4</t>
    </r>
  </si>
  <si>
    <r>
      <rPr>
        <rFont val="Helvetica"/>
        <color rgb="FF231F20"/>
        <sz val="10.0"/>
      </rPr>
      <t>Security Impact Analysis</t>
    </r>
  </si>
  <si>
    <r>
      <rPr>
        <rFont val="Helvetica"/>
        <color rgb="FF231F20"/>
        <sz val="10.0"/>
      </rPr>
      <t>CM-5</t>
    </r>
  </si>
  <si>
    <r>
      <rPr>
        <rFont val="Helvetica"/>
        <color rgb="FF231F20"/>
        <sz val="10.0"/>
      </rPr>
      <t>Access Restrictions for Change</t>
    </r>
  </si>
  <si>
    <r>
      <rPr>
        <rFont val="Helvetica"/>
        <color rgb="FF231F20"/>
        <sz val="10.0"/>
      </rPr>
      <t>CM-6</t>
    </r>
  </si>
  <si>
    <r>
      <rPr>
        <rFont val="Helvetica"/>
        <color rgb="FF231F20"/>
        <sz val="10.0"/>
      </rPr>
      <t>Configuration Settings</t>
    </r>
  </si>
  <si>
    <r>
      <rPr>
        <rFont val="Helvetica"/>
        <color rgb="FF231F20"/>
        <sz val="10.0"/>
      </rPr>
      <t>CM-7</t>
    </r>
  </si>
  <si>
    <r>
      <rPr>
        <rFont val="Helvetica"/>
        <color rgb="FF231F20"/>
        <sz val="10.0"/>
      </rPr>
      <t>Least Functionality</t>
    </r>
  </si>
  <si>
    <r>
      <rPr>
        <rFont val="Helvetica"/>
        <color rgb="FF231F20"/>
        <sz val="10.0"/>
      </rPr>
      <t>CM-8</t>
    </r>
  </si>
  <si>
    <r>
      <rPr>
        <rFont val="Helvetica"/>
        <color rgb="FF231F20"/>
        <sz val="10.0"/>
      </rPr>
      <t>Information System Component Inventory</t>
    </r>
  </si>
  <si>
    <r>
      <rPr>
        <rFont val="Helvetica"/>
        <color rgb="FF231F20"/>
        <sz val="10.0"/>
      </rPr>
      <t>CM-9</t>
    </r>
  </si>
  <si>
    <r>
      <rPr>
        <rFont val="Helvetica"/>
        <color rgb="FF231F20"/>
        <sz val="10.0"/>
      </rPr>
      <t>Configuration Management Plan</t>
    </r>
  </si>
  <si>
    <r>
      <rPr>
        <rFont val="Helvetica"/>
        <color rgb="FF231F20"/>
        <sz val="10.0"/>
      </rPr>
      <t>CM-10</t>
    </r>
  </si>
  <si>
    <r>
      <rPr>
        <rFont val="Helvetica"/>
        <color rgb="FF231F20"/>
        <sz val="10.0"/>
      </rPr>
      <t>Software Usage Restrictions</t>
    </r>
  </si>
  <si>
    <r>
      <rPr>
        <rFont val="Helvetica"/>
        <color rgb="FF231F20"/>
        <sz val="10.0"/>
      </rPr>
      <t>CM-11</t>
    </r>
  </si>
  <si>
    <r>
      <rPr>
        <rFont val="Helvetica"/>
        <color rgb="FF231F20"/>
        <sz val="10.0"/>
      </rPr>
      <t>User-Installed Software</t>
    </r>
  </si>
  <si>
    <r>
      <rPr>
        <rFont val="Helvetica"/>
        <color rgb="FF231F20"/>
        <sz val="10.0"/>
      </rPr>
      <t>CP-1</t>
    </r>
  </si>
  <si>
    <t>Contingency Planning Policy and Procedures</t>
  </si>
  <si>
    <r>
      <rPr>
        <rFont val="Helvetica"/>
        <color rgb="FF231F20"/>
        <sz val="10.0"/>
      </rPr>
      <t>CP-2</t>
    </r>
  </si>
  <si>
    <r>
      <rPr>
        <rFont val="Helvetica"/>
        <color rgb="FF231F20"/>
        <sz val="10.0"/>
      </rPr>
      <t>Contingency Plan</t>
    </r>
  </si>
  <si>
    <r>
      <rPr>
        <rFont val="Helvetica"/>
        <color rgb="FF231F20"/>
        <sz val="10.0"/>
      </rPr>
      <t>CP-3</t>
    </r>
  </si>
  <si>
    <r>
      <rPr>
        <rFont val="Helvetica"/>
        <color rgb="FF231F20"/>
        <sz val="10.0"/>
      </rPr>
      <t>Contingency Training</t>
    </r>
  </si>
  <si>
    <r>
      <rPr>
        <rFont val="Helvetica"/>
        <color rgb="FF231F20"/>
        <sz val="10.0"/>
      </rPr>
      <t>CP-4</t>
    </r>
  </si>
  <si>
    <r>
      <rPr>
        <rFont val="Helvetica"/>
        <color rgb="FF231F20"/>
        <sz val="10.0"/>
      </rPr>
      <t>Contingency Plan Testing</t>
    </r>
  </si>
  <si>
    <r>
      <rPr>
        <rFont val="Helvetica"/>
        <color rgb="FF231F20"/>
        <sz val="10.0"/>
      </rPr>
      <t>CP-5</t>
    </r>
  </si>
  <si>
    <r>
      <rPr>
        <rFont val="Helvetica"/>
        <b/>
        <color rgb="FF231F20"/>
        <sz val="10.0"/>
      </rPr>
      <t>Withdrawn</t>
    </r>
  </si>
  <si>
    <r>
      <rPr>
        <rFont val="Helvetica"/>
        <color rgb="FF231F20"/>
        <sz val="10.0"/>
      </rPr>
      <t>CP-6</t>
    </r>
  </si>
  <si>
    <r>
      <rPr>
        <rFont val="Helvetica"/>
        <color rgb="FF231F20"/>
        <sz val="10.0"/>
      </rPr>
      <t>Alternate Storage Site</t>
    </r>
  </si>
  <si>
    <r>
      <rPr>
        <rFont val="Helvetica"/>
        <color rgb="FF231F20"/>
        <sz val="10.0"/>
      </rPr>
      <t>CP-7</t>
    </r>
  </si>
  <si>
    <r>
      <rPr>
        <rFont val="Helvetica"/>
        <color rgb="FF231F20"/>
        <sz val="10.0"/>
      </rPr>
      <t>Alternate Processing Site</t>
    </r>
  </si>
  <si>
    <r>
      <rPr>
        <rFont val="Helvetica"/>
        <color rgb="FF231F20"/>
        <sz val="10.0"/>
      </rPr>
      <t>CP-8</t>
    </r>
  </si>
  <si>
    <r>
      <rPr>
        <rFont val="Helvetica"/>
        <color rgb="FF231F20"/>
        <sz val="10.0"/>
      </rPr>
      <t>Telecommunications Services</t>
    </r>
  </si>
  <si>
    <r>
      <rPr>
        <rFont val="Helvetica"/>
        <color rgb="FF231F20"/>
        <sz val="10.0"/>
      </rPr>
      <t>CP-9</t>
    </r>
  </si>
  <si>
    <r>
      <rPr>
        <rFont val="Helvetica"/>
        <color rgb="FF231F20"/>
        <sz val="10.0"/>
      </rPr>
      <t>Information System Backup</t>
    </r>
  </si>
  <si>
    <r>
      <rPr>
        <rFont val="Helvetica"/>
        <color rgb="FF231F20"/>
        <sz val="10.0"/>
      </rPr>
      <t>CP-10</t>
    </r>
  </si>
  <si>
    <t>Information System Recovery and Reconstitution</t>
  </si>
  <si>
    <r>
      <rPr>
        <rFont val="Helvetica"/>
        <color rgb="FF231F20"/>
        <sz val="10.0"/>
      </rPr>
      <t>CP-11</t>
    </r>
  </si>
  <si>
    <r>
      <rPr>
        <rFont val="Helvetica"/>
        <color rgb="FF231F20"/>
        <sz val="10.0"/>
      </rPr>
      <t>Alternate Communications Protocols</t>
    </r>
  </si>
  <si>
    <r>
      <rPr>
        <rFont val="Helvetica"/>
        <color rgb="FF231F20"/>
        <sz val="10.0"/>
      </rPr>
      <t>CP-12</t>
    </r>
  </si>
  <si>
    <r>
      <rPr>
        <rFont val="Helvetica"/>
        <color rgb="FF231F20"/>
        <sz val="10.0"/>
      </rPr>
      <t>Safe Mode</t>
    </r>
  </si>
  <si>
    <r>
      <rPr>
        <rFont val="Helvetica"/>
        <color rgb="FF231F20"/>
        <sz val="10.0"/>
      </rPr>
      <t>CP-13</t>
    </r>
  </si>
  <si>
    <r>
      <rPr>
        <rFont val="Helvetica"/>
        <color rgb="FF231F20"/>
        <sz val="10.0"/>
      </rPr>
      <t>Alternative Security Mechanisms</t>
    </r>
  </si>
  <si>
    <r>
      <rPr>
        <rFont val="Helvetica"/>
        <color rgb="FF231F20"/>
        <sz val="10.0"/>
      </rPr>
      <t>IA-1</t>
    </r>
  </si>
  <si>
    <t>Identification and Authentication Policy and Procedures</t>
  </si>
  <si>
    <r>
      <rPr>
        <rFont val="Helvetica"/>
        <color rgb="FF231F20"/>
        <sz val="10.0"/>
      </rPr>
      <t>IA-2</t>
    </r>
  </si>
  <si>
    <t>Identification and Authentication (Organizational Users)</t>
  </si>
  <si>
    <r>
      <rPr>
        <rFont val="Helvetica"/>
        <color rgb="FF231F20"/>
        <sz val="10.0"/>
      </rPr>
      <t>IA-3</t>
    </r>
  </si>
  <si>
    <r>
      <rPr>
        <rFont val="Helvetica"/>
        <color rgb="FF231F20"/>
        <sz val="10.0"/>
      </rPr>
      <t>Device Identification and Authentication</t>
    </r>
  </si>
  <si>
    <r>
      <rPr>
        <rFont val="Helvetica"/>
        <color rgb="FF231F20"/>
        <sz val="10.0"/>
      </rPr>
      <t>IA-4</t>
    </r>
  </si>
  <si>
    <r>
      <rPr>
        <rFont val="Helvetica"/>
        <color rgb="FF231F20"/>
        <sz val="10.0"/>
      </rPr>
      <t>Identifier Management</t>
    </r>
  </si>
  <si>
    <r>
      <rPr>
        <rFont val="Helvetica"/>
        <color rgb="FF231F20"/>
        <sz val="10.0"/>
      </rPr>
      <t>IA-5</t>
    </r>
  </si>
  <si>
    <r>
      <rPr>
        <rFont val="Helvetica"/>
        <color rgb="FF231F20"/>
        <sz val="10.0"/>
      </rPr>
      <t>Authenticator Management</t>
    </r>
  </si>
  <si>
    <t>Password -Based Authentication: Enforces minimum complexity</t>
  </si>
  <si>
    <r>
      <rPr>
        <rFont val="Helvetica"/>
        <color rgb="FF231F20"/>
        <sz val="10.0"/>
      </rPr>
      <t>IA-6</t>
    </r>
  </si>
  <si>
    <r>
      <rPr>
        <rFont val="Helvetica"/>
        <color rgb="FF231F20"/>
        <sz val="10.0"/>
      </rPr>
      <t>Authenticator Feedback</t>
    </r>
  </si>
  <si>
    <r>
      <rPr>
        <rFont val="Helvetica"/>
        <color rgb="FF231F20"/>
        <sz val="10.0"/>
      </rPr>
      <t>IA-7</t>
    </r>
  </si>
  <si>
    <r>
      <rPr>
        <rFont val="Helvetica"/>
        <color rgb="FF231F20"/>
        <sz val="10.0"/>
      </rPr>
      <t>Cryptographic Module Authentication</t>
    </r>
  </si>
  <si>
    <r>
      <rPr>
        <rFont val="Helvetica"/>
        <color rgb="FF231F20"/>
        <sz val="10.0"/>
      </rPr>
      <t>IA-8</t>
    </r>
  </si>
  <si>
    <r>
      <rPr>
        <rFont val="Helvetica"/>
        <color rgb="FF231F20"/>
        <sz val="10.0"/>
      </rPr>
      <t>Identification and Authentication (Non- Organizational Users)</t>
    </r>
  </si>
  <si>
    <r>
      <rPr>
        <rFont val="Helvetica"/>
        <color rgb="FF231F20"/>
        <sz val="10.0"/>
      </rPr>
      <t>IA-9</t>
    </r>
  </si>
  <si>
    <r>
      <rPr>
        <rFont val="Helvetica"/>
        <color rgb="FF231F20"/>
        <sz val="10.0"/>
      </rPr>
      <t>Service Identification and Authentication</t>
    </r>
  </si>
  <si>
    <r>
      <rPr>
        <rFont val="Helvetica"/>
        <color rgb="FF231F20"/>
        <sz val="10.0"/>
      </rPr>
      <t>IA-10</t>
    </r>
  </si>
  <si>
    <r>
      <rPr>
        <rFont val="Helvetica"/>
        <color rgb="FF231F20"/>
        <sz val="10.0"/>
      </rPr>
      <t>Adaptive Identification and Authentication</t>
    </r>
  </si>
  <si>
    <r>
      <rPr>
        <rFont val="Helvetica"/>
        <color rgb="FF231F20"/>
        <sz val="10.0"/>
      </rPr>
      <t>IA-11</t>
    </r>
  </si>
  <si>
    <r>
      <rPr>
        <rFont val="Helvetica"/>
        <color rgb="FF231F20"/>
        <sz val="10.0"/>
      </rPr>
      <t>Re-authentication</t>
    </r>
  </si>
  <si>
    <r>
      <rPr>
        <rFont val="Helvetica"/>
        <color rgb="FF231F20"/>
        <sz val="10.0"/>
      </rPr>
      <t>IR-1</t>
    </r>
  </si>
  <si>
    <r>
      <rPr>
        <rFont val="Helvetica"/>
        <color rgb="FF231F20"/>
        <sz val="10.0"/>
      </rPr>
      <t>Incident Response Policy and Procedures</t>
    </r>
  </si>
  <si>
    <r>
      <rPr>
        <rFont val="Helvetica"/>
        <color rgb="FF231F20"/>
        <sz val="10.0"/>
      </rPr>
      <t>IR-2</t>
    </r>
  </si>
  <si>
    <r>
      <rPr>
        <rFont val="Helvetica"/>
        <color rgb="FF231F20"/>
        <sz val="10.0"/>
      </rPr>
      <t>Incident Response Training</t>
    </r>
  </si>
  <si>
    <r>
      <rPr>
        <rFont val="Helvetica"/>
        <color rgb="FF231F20"/>
        <sz val="10.0"/>
      </rPr>
      <t>IR-3</t>
    </r>
  </si>
  <si>
    <r>
      <rPr>
        <rFont val="Helvetica"/>
        <color rgb="FF231F20"/>
        <sz val="10.0"/>
      </rPr>
      <t>Incident Response Testing</t>
    </r>
  </si>
  <si>
    <r>
      <rPr>
        <rFont val="Helvetica"/>
        <color rgb="FF231F20"/>
        <sz val="10.0"/>
      </rPr>
      <t>IR-4</t>
    </r>
  </si>
  <si>
    <r>
      <rPr>
        <rFont val="Helvetica"/>
        <color rgb="FF231F20"/>
        <sz val="10.0"/>
      </rPr>
      <t>Incident Handling</t>
    </r>
  </si>
  <si>
    <r>
      <rPr>
        <rFont val="Helvetica"/>
        <color rgb="FF231F20"/>
        <sz val="10.0"/>
      </rPr>
      <t>IR-5</t>
    </r>
  </si>
  <si>
    <r>
      <rPr>
        <rFont val="Helvetica"/>
        <color rgb="FF231F20"/>
        <sz val="10.0"/>
      </rPr>
      <t>Incident Monitoring</t>
    </r>
  </si>
  <si>
    <r>
      <rPr>
        <rFont val="Helvetica"/>
        <color rgb="FF231F20"/>
        <sz val="10.0"/>
      </rPr>
      <t>IR-6</t>
    </r>
  </si>
  <si>
    <r>
      <rPr>
        <rFont val="Helvetica"/>
        <color rgb="FF231F20"/>
        <sz val="10.0"/>
      </rPr>
      <t>Incident Reporting</t>
    </r>
  </si>
  <si>
    <r>
      <rPr>
        <rFont val="Helvetica"/>
        <color rgb="FF231F20"/>
        <sz val="10.0"/>
      </rPr>
      <t>IR-7</t>
    </r>
  </si>
  <si>
    <r>
      <rPr>
        <rFont val="Helvetica"/>
        <color rgb="FF231F20"/>
        <sz val="10.0"/>
      </rPr>
      <t>Incident Response Assistance</t>
    </r>
  </si>
  <si>
    <r>
      <rPr>
        <rFont val="Helvetica"/>
        <color rgb="FF231F20"/>
        <sz val="10.0"/>
      </rPr>
      <t>IR-8</t>
    </r>
  </si>
  <si>
    <r>
      <rPr>
        <rFont val="Helvetica"/>
        <color rgb="FF231F20"/>
        <sz val="10.0"/>
      </rPr>
      <t>Incident Response Plan</t>
    </r>
  </si>
  <si>
    <r>
      <rPr>
        <rFont val="Helvetica"/>
        <color rgb="FF231F20"/>
        <sz val="10.0"/>
      </rPr>
      <t>IR-9</t>
    </r>
  </si>
  <si>
    <r>
      <rPr>
        <rFont val="Helvetica"/>
        <color rgb="FF231F20"/>
        <sz val="10.0"/>
      </rPr>
      <t>Information Spillage Response</t>
    </r>
  </si>
  <si>
    <r>
      <rPr>
        <rFont val="Helvetica"/>
        <color rgb="FF231F20"/>
        <sz val="10.0"/>
      </rPr>
      <t>IR-10</t>
    </r>
  </si>
  <si>
    <t>Integrated Information Security Analysis Team</t>
  </si>
  <si>
    <r>
      <rPr>
        <rFont val="Helvetica"/>
        <color rgb="FF231F20"/>
        <sz val="10.0"/>
      </rPr>
      <t>MA-1</t>
    </r>
  </si>
  <si>
    <r>
      <rPr>
        <rFont val="Helvetica"/>
        <color rgb="FF231F20"/>
        <sz val="10.0"/>
      </rPr>
      <t>System Maintenance Policy and Procedures</t>
    </r>
  </si>
  <si>
    <r>
      <rPr>
        <rFont val="Helvetica"/>
        <color rgb="FF231F20"/>
        <sz val="10.0"/>
      </rPr>
      <t>MA-2</t>
    </r>
  </si>
  <si>
    <r>
      <rPr>
        <rFont val="Helvetica"/>
        <color rgb="FF231F20"/>
        <sz val="10.0"/>
      </rPr>
      <t>Controlled Maintenance</t>
    </r>
  </si>
  <si>
    <r>
      <rPr>
        <rFont val="Helvetica"/>
        <color rgb="FF231F20"/>
        <sz val="10.0"/>
      </rPr>
      <t>MA-3</t>
    </r>
  </si>
  <si>
    <r>
      <rPr>
        <rFont val="Helvetica"/>
        <color rgb="FF231F20"/>
        <sz val="10.0"/>
      </rPr>
      <t>Maintenance Tools</t>
    </r>
  </si>
  <si>
    <r>
      <rPr>
        <rFont val="Helvetica"/>
        <color rgb="FF231F20"/>
        <sz val="10.0"/>
      </rPr>
      <t>MA-4</t>
    </r>
  </si>
  <si>
    <r>
      <rPr>
        <rFont val="Helvetica"/>
        <color rgb="FF231F20"/>
        <sz val="10.0"/>
      </rPr>
      <t>Nonlocal Maintenance</t>
    </r>
  </si>
  <si>
    <r>
      <rPr>
        <rFont val="Helvetica"/>
        <color rgb="FF231F20"/>
        <sz val="10.0"/>
      </rPr>
      <t>MA-5</t>
    </r>
  </si>
  <si>
    <r>
      <rPr>
        <rFont val="Helvetica"/>
        <color rgb="FF231F20"/>
        <sz val="10.0"/>
      </rPr>
      <t>Maintenance Personnel</t>
    </r>
  </si>
  <si>
    <r>
      <rPr>
        <rFont val="Helvetica"/>
        <color rgb="FF231F20"/>
        <sz val="10.0"/>
      </rPr>
      <t>MA-6</t>
    </r>
  </si>
  <si>
    <r>
      <rPr>
        <rFont val="Helvetica"/>
        <color rgb="FF231F20"/>
        <sz val="10.0"/>
      </rPr>
      <t>Timely Maintenance</t>
    </r>
  </si>
  <si>
    <r>
      <rPr>
        <rFont val="Helvetica"/>
        <color rgb="FF231F20"/>
        <sz val="10.0"/>
      </rPr>
      <t>MP-1</t>
    </r>
  </si>
  <si>
    <r>
      <rPr>
        <rFont val="Helvetica"/>
        <color rgb="FF231F20"/>
        <sz val="10.0"/>
      </rPr>
      <t>Media Protection Policy and Procedures</t>
    </r>
  </si>
  <si>
    <r>
      <rPr>
        <rFont val="Helvetica"/>
        <color rgb="FF231F20"/>
        <sz val="10.0"/>
      </rPr>
      <t>MP-2</t>
    </r>
  </si>
  <si>
    <r>
      <rPr>
        <rFont val="Helvetica"/>
        <color rgb="FF231F20"/>
        <sz val="10.0"/>
      </rPr>
      <t>Media Access</t>
    </r>
  </si>
  <si>
    <r>
      <rPr>
        <rFont val="Helvetica"/>
        <color rgb="FF231F20"/>
        <sz val="10.0"/>
      </rPr>
      <t>MP-3</t>
    </r>
  </si>
  <si>
    <r>
      <rPr>
        <rFont val="Helvetica"/>
        <color rgb="FF231F20"/>
        <sz val="10.0"/>
      </rPr>
      <t>Media Marking</t>
    </r>
  </si>
  <si>
    <r>
      <rPr>
        <rFont val="Helvetica"/>
        <color rgb="FF231F20"/>
        <sz val="10.0"/>
      </rPr>
      <t>MP-4</t>
    </r>
  </si>
  <si>
    <r>
      <rPr>
        <rFont val="Helvetica"/>
        <color rgb="FF231F20"/>
        <sz val="10.0"/>
      </rPr>
      <t>Media Storage</t>
    </r>
  </si>
  <si>
    <r>
      <rPr>
        <rFont val="Helvetica"/>
        <color rgb="FF231F20"/>
        <sz val="10.0"/>
      </rPr>
      <t>MP-5</t>
    </r>
  </si>
  <si>
    <r>
      <rPr>
        <rFont val="Helvetica"/>
        <color rgb="FF231F20"/>
        <sz val="10.0"/>
      </rPr>
      <t>Media Transport</t>
    </r>
  </si>
  <si>
    <r>
      <rPr>
        <rFont val="Helvetica"/>
        <color rgb="FF231F20"/>
        <sz val="10.0"/>
      </rPr>
      <t>MP-6</t>
    </r>
  </si>
  <si>
    <r>
      <rPr>
        <rFont val="Helvetica"/>
        <color rgb="FF231F20"/>
        <sz val="10.0"/>
      </rPr>
      <t>Media Sanitization</t>
    </r>
  </si>
  <si>
    <r>
      <rPr>
        <rFont val="Helvetica"/>
        <color rgb="FF231F20"/>
        <sz val="10.0"/>
      </rPr>
      <t>MP-7</t>
    </r>
  </si>
  <si>
    <r>
      <rPr>
        <rFont val="Helvetica"/>
        <color rgb="FF231F20"/>
        <sz val="10.0"/>
      </rPr>
      <t>Media Use</t>
    </r>
  </si>
  <si>
    <r>
      <rPr>
        <rFont val="Helvetica"/>
        <color rgb="FF231F20"/>
        <sz val="10.0"/>
      </rPr>
      <t>MP-8</t>
    </r>
  </si>
  <si>
    <r>
      <rPr>
        <rFont val="Helvetica"/>
        <color rgb="FF231F20"/>
        <sz val="10.0"/>
      </rPr>
      <t>Media Downgrading</t>
    </r>
  </si>
  <si>
    <r>
      <rPr>
        <rFont val="Helvetica"/>
        <color rgb="FF231F20"/>
        <sz val="10.0"/>
      </rPr>
      <t>PE-1</t>
    </r>
  </si>
  <si>
    <t>Physical and Environmental Protection Policy and Procedures</t>
  </si>
  <si>
    <r>
      <rPr>
        <rFont val="Helvetica"/>
        <color rgb="FF231F20"/>
        <sz val="10.0"/>
      </rPr>
      <t>PE-2</t>
    </r>
  </si>
  <si>
    <r>
      <rPr>
        <rFont val="Helvetica"/>
        <color rgb="FF231F20"/>
        <sz val="10.0"/>
      </rPr>
      <t>Physical Access Authorizations</t>
    </r>
  </si>
  <si>
    <r>
      <rPr>
        <rFont val="Helvetica"/>
        <color rgb="FF231F20"/>
        <sz val="10.0"/>
      </rPr>
      <t>PE-3</t>
    </r>
  </si>
  <si>
    <r>
      <rPr>
        <rFont val="Helvetica"/>
        <color rgb="FF231F20"/>
        <sz val="10.0"/>
      </rPr>
      <t>Physical Access Control</t>
    </r>
  </si>
  <si>
    <r>
      <rPr>
        <rFont val="Helvetica"/>
        <color rgb="FF231F20"/>
        <sz val="10.0"/>
      </rPr>
      <t>PE-4</t>
    </r>
  </si>
  <si>
    <r>
      <rPr>
        <rFont val="Helvetica"/>
        <color rgb="FF231F20"/>
        <sz val="10.0"/>
      </rPr>
      <t>Access Control for Transmission Medium</t>
    </r>
  </si>
  <si>
    <r>
      <rPr>
        <rFont val="Helvetica"/>
        <color rgb="FF231F20"/>
        <sz val="10.0"/>
      </rPr>
      <t>PE-5</t>
    </r>
  </si>
  <si>
    <r>
      <rPr>
        <rFont val="Helvetica"/>
        <color rgb="FF231F20"/>
        <sz val="10.0"/>
      </rPr>
      <t>Access Control for Output Devices</t>
    </r>
  </si>
  <si>
    <r>
      <rPr>
        <rFont val="Helvetica"/>
        <color rgb="FF231F20"/>
        <sz val="10.0"/>
      </rPr>
      <t>PE-6</t>
    </r>
  </si>
  <si>
    <r>
      <rPr>
        <rFont val="Helvetica"/>
        <color rgb="FF231F20"/>
        <sz val="10.0"/>
      </rPr>
      <t>Monitoring Physical Access</t>
    </r>
  </si>
  <si>
    <r>
      <rPr>
        <rFont val="Helvetica"/>
        <color rgb="FF231F20"/>
        <sz val="10.0"/>
      </rPr>
      <t>PE-7</t>
    </r>
  </si>
  <si>
    <r>
      <rPr>
        <rFont val="Helvetica"/>
        <b/>
        <color rgb="FF231F20"/>
        <sz val="10.0"/>
      </rPr>
      <t>Withdrawn</t>
    </r>
  </si>
  <si>
    <r>
      <rPr>
        <rFont val="Helvetica"/>
        <color rgb="FF231F20"/>
        <sz val="10.0"/>
      </rPr>
      <t>PE-8</t>
    </r>
  </si>
  <si>
    <r>
      <rPr>
        <rFont val="Helvetica"/>
        <color rgb="FF231F20"/>
        <sz val="10.0"/>
      </rPr>
      <t>Visitor Access Records</t>
    </r>
  </si>
  <si>
    <r>
      <rPr>
        <rFont val="Helvetica"/>
        <color rgb="FF231F20"/>
        <sz val="10.0"/>
      </rPr>
      <t>PE-9</t>
    </r>
  </si>
  <si>
    <r>
      <rPr>
        <rFont val="Helvetica"/>
        <color rgb="FF231F20"/>
        <sz val="10.0"/>
      </rPr>
      <t>Power Equipment and Cabling</t>
    </r>
  </si>
  <si>
    <r>
      <rPr>
        <rFont val="Helvetica"/>
        <color rgb="FF231F20"/>
        <sz val="10.0"/>
      </rPr>
      <t>PE-10</t>
    </r>
  </si>
  <si>
    <r>
      <rPr>
        <rFont val="Helvetica"/>
        <color rgb="FF231F20"/>
        <sz val="10.0"/>
      </rPr>
      <t>Emergency Shutoff</t>
    </r>
  </si>
  <si>
    <r>
      <rPr>
        <rFont val="Helvetica"/>
        <color rgb="FF231F20"/>
        <sz val="10.0"/>
      </rPr>
      <t>PE-11</t>
    </r>
  </si>
  <si>
    <r>
      <rPr>
        <rFont val="Helvetica"/>
        <color rgb="FF231F20"/>
        <sz val="10.0"/>
      </rPr>
      <t>Emergency Power</t>
    </r>
  </si>
  <si>
    <r>
      <rPr>
        <rFont val="Helvetica"/>
        <color rgb="FF231F20"/>
        <sz val="10.0"/>
      </rPr>
      <t>PE-12</t>
    </r>
  </si>
  <si>
    <r>
      <rPr>
        <rFont val="Helvetica"/>
        <color rgb="FF231F20"/>
        <sz val="10.0"/>
      </rPr>
      <t>Emergency Lighting</t>
    </r>
  </si>
  <si>
    <r>
      <rPr>
        <rFont val="Helvetica"/>
        <color rgb="FF231F20"/>
        <sz val="10.0"/>
      </rPr>
      <t>PE-13</t>
    </r>
  </si>
  <si>
    <r>
      <rPr>
        <rFont val="Helvetica"/>
        <color rgb="FF231F20"/>
        <sz val="10.0"/>
      </rPr>
      <t>Fire Protection</t>
    </r>
  </si>
  <si>
    <r>
      <rPr>
        <rFont val="Helvetica"/>
        <color rgb="FF231F20"/>
        <sz val="10.0"/>
      </rPr>
      <t>PE-14</t>
    </r>
  </si>
  <si>
    <r>
      <rPr>
        <rFont val="Helvetica"/>
        <color rgb="FF231F20"/>
        <sz val="10.0"/>
      </rPr>
      <t>Temperature and Humidity Controls</t>
    </r>
  </si>
  <si>
    <r>
      <rPr>
        <rFont val="Helvetica"/>
        <color rgb="FF231F20"/>
        <sz val="10.0"/>
      </rPr>
      <t>PE-15</t>
    </r>
  </si>
  <si>
    <r>
      <rPr>
        <rFont val="Helvetica"/>
        <color rgb="FF231F20"/>
        <sz val="10.0"/>
      </rPr>
      <t>Water Damage Protection</t>
    </r>
  </si>
  <si>
    <r>
      <rPr>
        <rFont val="Helvetica"/>
        <color rgb="FF231F20"/>
        <sz val="10.0"/>
      </rPr>
      <t>PE-16</t>
    </r>
  </si>
  <si>
    <r>
      <rPr>
        <rFont val="Helvetica"/>
        <color rgb="FF231F20"/>
        <sz val="10.0"/>
      </rPr>
      <t>Delivery and Removal</t>
    </r>
  </si>
  <si>
    <r>
      <rPr>
        <rFont val="Helvetica"/>
        <color rgb="FF231F20"/>
        <sz val="10.0"/>
      </rPr>
      <t>PE-17</t>
    </r>
  </si>
  <si>
    <r>
      <rPr>
        <rFont val="Helvetica"/>
        <color rgb="FF231F20"/>
        <sz val="10.0"/>
      </rPr>
      <t>Alternate Work Site</t>
    </r>
  </si>
  <si>
    <r>
      <rPr>
        <rFont val="Helvetica"/>
        <color rgb="FF231F20"/>
        <sz val="10.0"/>
      </rPr>
      <t>PE-18</t>
    </r>
  </si>
  <si>
    <r>
      <rPr>
        <rFont val="Helvetica"/>
        <color rgb="FF231F20"/>
        <sz val="10.0"/>
      </rPr>
      <t>Location of Information System Components</t>
    </r>
  </si>
  <si>
    <r>
      <rPr>
        <rFont val="Helvetica"/>
        <color rgb="FF231F20"/>
        <sz val="10.0"/>
      </rPr>
      <t>PE-19</t>
    </r>
  </si>
  <si>
    <r>
      <rPr>
        <rFont val="Helvetica"/>
        <color rgb="FF231F20"/>
        <sz val="10.0"/>
      </rPr>
      <t>Information Leakage</t>
    </r>
  </si>
  <si>
    <r>
      <rPr>
        <rFont val="Helvetica"/>
        <color rgb="FF231F20"/>
        <sz val="10.0"/>
      </rPr>
      <t>PE-20</t>
    </r>
  </si>
  <si>
    <r>
      <rPr>
        <rFont val="Helvetica"/>
        <color rgb="FF231F20"/>
        <sz val="10.0"/>
      </rPr>
      <t>Asset Monitoring and Tracking</t>
    </r>
  </si>
  <si>
    <r>
      <rPr>
        <rFont val="Helvetica"/>
        <color rgb="FF231F20"/>
        <sz val="10.0"/>
      </rPr>
      <t>PL-1</t>
    </r>
  </si>
  <si>
    <r>
      <rPr>
        <rFont val="Helvetica"/>
        <color rgb="FF231F20"/>
        <sz val="10.0"/>
      </rPr>
      <t>Security Planning Policy and Procedures</t>
    </r>
  </si>
  <si>
    <r>
      <rPr>
        <rFont val="Helvetica"/>
        <color rgb="FF231F20"/>
        <sz val="10.0"/>
      </rPr>
      <t>PL-2</t>
    </r>
  </si>
  <si>
    <r>
      <rPr>
        <rFont val="Helvetica"/>
        <color rgb="FF231F20"/>
        <sz val="10.0"/>
      </rPr>
      <t>System Security Plan</t>
    </r>
  </si>
  <si>
    <r>
      <rPr>
        <rFont val="Helvetica"/>
        <color rgb="FF231F20"/>
        <sz val="10.0"/>
      </rPr>
      <t>PL-3</t>
    </r>
  </si>
  <si>
    <r>
      <rPr>
        <rFont val="Helvetica"/>
        <b/>
        <color rgb="FF231F20"/>
        <sz val="10.0"/>
      </rPr>
      <t>Withdrawn</t>
    </r>
  </si>
  <si>
    <r>
      <rPr>
        <rFont val="Helvetica"/>
        <color rgb="FF231F20"/>
        <sz val="10.0"/>
      </rPr>
      <t>PL-4</t>
    </r>
  </si>
  <si>
    <r>
      <rPr>
        <rFont val="Helvetica"/>
        <color rgb="FF231F20"/>
        <sz val="10.0"/>
      </rPr>
      <t>Rules of Behavior</t>
    </r>
  </si>
  <si>
    <r>
      <rPr>
        <rFont val="Helvetica"/>
        <color rgb="FF231F20"/>
        <sz val="10.0"/>
      </rPr>
      <t>PL-5</t>
    </r>
  </si>
  <si>
    <r>
      <rPr>
        <rFont val="Helvetica"/>
        <b/>
        <color rgb="FF231F20"/>
        <sz val="10.0"/>
      </rPr>
      <t>Withdrawn</t>
    </r>
  </si>
  <si>
    <r>
      <rPr>
        <rFont val="Helvetica"/>
        <color rgb="FF231F20"/>
        <sz val="10.0"/>
      </rPr>
      <t>PL-6</t>
    </r>
  </si>
  <si>
    <r>
      <rPr>
        <rFont val="Helvetica"/>
        <b/>
        <color rgb="FF231F20"/>
        <sz val="10.0"/>
      </rPr>
      <t>Withdrawn</t>
    </r>
  </si>
  <si>
    <r>
      <rPr>
        <rFont val="Helvetica"/>
        <color rgb="FF231F20"/>
        <sz val="10.0"/>
      </rPr>
      <t>PL-7</t>
    </r>
  </si>
  <si>
    <r>
      <rPr>
        <rFont val="Helvetica"/>
        <color rgb="FF231F20"/>
        <sz val="10.0"/>
      </rPr>
      <t>Security Concept of Operations</t>
    </r>
  </si>
  <si>
    <r>
      <rPr>
        <rFont val="Helvetica"/>
        <color rgb="FF231F20"/>
        <sz val="10.0"/>
      </rPr>
      <t>PL-8</t>
    </r>
  </si>
  <si>
    <r>
      <rPr>
        <rFont val="Helvetica"/>
        <color rgb="FF231F20"/>
        <sz val="10.0"/>
      </rPr>
      <t>Information Security Architecture</t>
    </r>
  </si>
  <si>
    <r>
      <rPr>
        <rFont val="Helvetica"/>
        <color rgb="FF231F20"/>
        <sz val="10.0"/>
      </rPr>
      <t>PL-9</t>
    </r>
  </si>
  <si>
    <r>
      <rPr>
        <rFont val="Helvetica"/>
        <color rgb="FF231F20"/>
        <sz val="10.0"/>
      </rPr>
      <t>Central Management</t>
    </r>
  </si>
  <si>
    <r>
      <rPr>
        <rFont val="Helvetica"/>
        <color rgb="FF231F20"/>
        <sz val="10.0"/>
      </rPr>
      <t>PS-1</t>
    </r>
  </si>
  <si>
    <r>
      <rPr>
        <rFont val="Helvetica"/>
        <color rgb="FF231F20"/>
        <sz val="10.0"/>
      </rPr>
      <t>Personnel Security Policy and Procedures</t>
    </r>
  </si>
  <si>
    <r>
      <rPr>
        <rFont val="Helvetica"/>
        <color rgb="FF231F20"/>
        <sz val="10.0"/>
      </rPr>
      <t>PS-2</t>
    </r>
  </si>
  <si>
    <r>
      <rPr>
        <rFont val="Helvetica"/>
        <color rgb="FF231F20"/>
        <sz val="10.0"/>
      </rPr>
      <t>Position Risk Designation</t>
    </r>
  </si>
  <si>
    <r>
      <rPr>
        <rFont val="Helvetica"/>
        <color rgb="FF231F20"/>
        <sz val="10.0"/>
      </rPr>
      <t>PS-3</t>
    </r>
  </si>
  <si>
    <r>
      <rPr>
        <rFont val="Helvetica"/>
        <color rgb="FF231F20"/>
        <sz val="10.0"/>
      </rPr>
      <t>Personnel Screening</t>
    </r>
  </si>
  <si>
    <r>
      <rPr>
        <rFont val="Helvetica"/>
        <color rgb="FF231F20"/>
        <sz val="10.0"/>
      </rPr>
      <t>PS-4</t>
    </r>
  </si>
  <si>
    <r>
      <rPr>
        <rFont val="Helvetica"/>
        <color rgb="FF231F20"/>
        <sz val="10.0"/>
      </rPr>
      <t>Personnel Termination</t>
    </r>
  </si>
  <si>
    <r>
      <rPr>
        <rFont val="Helvetica"/>
        <color rgb="FF231F20"/>
        <sz val="10.0"/>
      </rPr>
      <t>PS-5</t>
    </r>
  </si>
  <si>
    <r>
      <rPr>
        <rFont val="Helvetica"/>
        <color rgb="FF231F20"/>
        <sz val="10.0"/>
      </rPr>
      <t>Personnel Transfer</t>
    </r>
  </si>
  <si>
    <r>
      <rPr>
        <rFont val="Helvetica"/>
        <color rgb="FF231F20"/>
        <sz val="10.0"/>
      </rPr>
      <t>PS-6</t>
    </r>
  </si>
  <si>
    <r>
      <rPr>
        <rFont val="Helvetica"/>
        <color rgb="FF231F20"/>
        <sz val="10.0"/>
      </rPr>
      <t>Access Agreements</t>
    </r>
  </si>
  <si>
    <r>
      <rPr>
        <rFont val="Helvetica"/>
        <color rgb="FF231F20"/>
        <sz val="10.0"/>
      </rPr>
      <t>PS-7</t>
    </r>
  </si>
  <si>
    <r>
      <rPr>
        <rFont val="Helvetica"/>
        <color rgb="FF231F20"/>
        <sz val="10.0"/>
      </rPr>
      <t>Third-Party Personnel Security</t>
    </r>
  </si>
  <si>
    <r>
      <rPr>
        <rFont val="Helvetica"/>
        <color rgb="FF231F20"/>
        <sz val="10.0"/>
      </rPr>
      <t>PS-8</t>
    </r>
  </si>
  <si>
    <r>
      <rPr>
        <rFont val="Helvetica"/>
        <color rgb="FF231F20"/>
        <sz val="10.0"/>
      </rPr>
      <t>Personnel Sanctions</t>
    </r>
  </si>
  <si>
    <r>
      <rPr>
        <rFont val="Helvetica"/>
        <color rgb="FF231F20"/>
        <sz val="10.0"/>
      </rPr>
      <t>RA-1</t>
    </r>
  </si>
  <si>
    <r>
      <rPr>
        <rFont val="Helvetica"/>
        <color rgb="FF231F20"/>
        <sz val="10.0"/>
      </rPr>
      <t>Risk Assessment Policy and Procedures</t>
    </r>
  </si>
  <si>
    <r>
      <rPr>
        <rFont val="Helvetica"/>
        <color rgb="FF231F20"/>
        <sz val="10.0"/>
      </rPr>
      <t>RA-2</t>
    </r>
  </si>
  <si>
    <r>
      <rPr>
        <rFont val="Helvetica"/>
        <color rgb="FF231F20"/>
        <sz val="10.0"/>
      </rPr>
      <t>Security Categorization</t>
    </r>
  </si>
  <si>
    <r>
      <rPr>
        <rFont val="Helvetica"/>
        <color rgb="FF231F20"/>
        <sz val="10.0"/>
      </rPr>
      <t>RA-3</t>
    </r>
  </si>
  <si>
    <r>
      <rPr>
        <rFont val="Helvetica"/>
        <color rgb="FF231F20"/>
        <sz val="10.0"/>
      </rPr>
      <t>Risk Assessment</t>
    </r>
  </si>
  <si>
    <r>
      <rPr>
        <rFont val="Helvetica"/>
        <color rgb="FF231F20"/>
        <sz val="10.0"/>
      </rPr>
      <t>RA-4</t>
    </r>
  </si>
  <si>
    <r>
      <rPr>
        <rFont val="Helvetica"/>
        <b/>
        <color rgb="FF231F20"/>
        <sz val="10.0"/>
      </rPr>
      <t>Withdrawn</t>
    </r>
  </si>
  <si>
    <r>
      <rPr>
        <rFont val="Helvetica"/>
        <color rgb="FF231F20"/>
        <sz val="10.0"/>
      </rPr>
      <t>RA-5</t>
    </r>
  </si>
  <si>
    <r>
      <rPr>
        <rFont val="Helvetica"/>
        <color rgb="FF231F20"/>
        <sz val="10.0"/>
      </rPr>
      <t>Vulnerability Scanning</t>
    </r>
  </si>
  <si>
    <r>
      <rPr>
        <rFont val="Helvetica"/>
        <color rgb="FF231F20"/>
        <sz val="10.0"/>
      </rPr>
      <t>RA-6</t>
    </r>
  </si>
  <si>
    <t>Technical Surveillance Countermeasures Survey</t>
  </si>
  <si>
    <r>
      <rPr>
        <rFont val="Helvetica"/>
        <color rgb="FF231F20"/>
        <sz val="10.0"/>
      </rPr>
      <t>SA-1</t>
    </r>
  </si>
  <si>
    <t>System and Services Acquisition Policy and Procedures</t>
  </si>
  <si>
    <r>
      <rPr>
        <rFont val="Helvetica"/>
        <color rgb="FF231F20"/>
        <sz val="10.0"/>
      </rPr>
      <t>SA-2</t>
    </r>
  </si>
  <si>
    <r>
      <rPr>
        <rFont val="Helvetica"/>
        <color rgb="FF231F20"/>
        <sz val="10.0"/>
      </rPr>
      <t>Allocation of Resources</t>
    </r>
  </si>
  <si>
    <r>
      <rPr>
        <rFont val="Helvetica"/>
        <color rgb="FF231F20"/>
        <sz val="10.0"/>
      </rPr>
      <t>SA-3</t>
    </r>
  </si>
  <si>
    <r>
      <rPr>
        <rFont val="Helvetica"/>
        <color rgb="FF231F20"/>
        <sz val="10.0"/>
      </rPr>
      <t>System Development Life Cycle</t>
    </r>
  </si>
  <si>
    <r>
      <rPr>
        <rFont val="Helvetica"/>
        <color rgb="FF231F20"/>
        <sz val="10.0"/>
      </rPr>
      <t>SA-4</t>
    </r>
  </si>
  <si>
    <r>
      <rPr>
        <rFont val="Helvetica"/>
        <color rgb="FF231F20"/>
        <sz val="10.0"/>
      </rPr>
      <t>Acquisition Process</t>
    </r>
  </si>
  <si>
    <r>
      <rPr>
        <rFont val="Helvetica"/>
        <color rgb="FF231F20"/>
        <sz val="10.0"/>
      </rPr>
      <t>SA-5</t>
    </r>
  </si>
  <si>
    <r>
      <rPr>
        <rFont val="Helvetica"/>
        <color rgb="FF231F20"/>
        <sz val="10.0"/>
      </rPr>
      <t>Information System Documentation</t>
    </r>
  </si>
  <si>
    <r>
      <rPr>
        <rFont val="Helvetica"/>
        <color rgb="FF231F20"/>
        <sz val="10.0"/>
      </rPr>
      <t>SA-6</t>
    </r>
  </si>
  <si>
    <r>
      <rPr>
        <rFont val="Helvetica"/>
        <b/>
        <color rgb="FF231F20"/>
        <sz val="10.0"/>
      </rPr>
      <t>Withdrawn</t>
    </r>
  </si>
  <si>
    <r>
      <rPr>
        <rFont val="Helvetica"/>
        <color rgb="FF231F20"/>
        <sz val="10.0"/>
      </rPr>
      <t>SA-7</t>
    </r>
  </si>
  <si>
    <r>
      <rPr>
        <rFont val="Helvetica"/>
        <b/>
        <color rgb="FF231F20"/>
        <sz val="10.0"/>
      </rPr>
      <t>Withdrawn</t>
    </r>
  </si>
  <si>
    <r>
      <rPr>
        <rFont val="Helvetica"/>
        <color rgb="FF231F20"/>
        <sz val="10.0"/>
      </rPr>
      <t>SA-8</t>
    </r>
  </si>
  <si>
    <r>
      <rPr>
        <rFont val="Helvetica"/>
        <color rgb="FF231F20"/>
        <sz val="10.0"/>
      </rPr>
      <t>Security Engineering Principles</t>
    </r>
  </si>
  <si>
    <r>
      <rPr>
        <rFont val="Helvetica"/>
        <color rgb="FF231F20"/>
        <sz val="10.0"/>
      </rPr>
      <t>SA-9</t>
    </r>
  </si>
  <si>
    <r>
      <rPr>
        <rFont val="Helvetica"/>
        <color rgb="FF231F20"/>
        <sz val="10.0"/>
      </rPr>
      <t>External Information System Services</t>
    </r>
  </si>
  <si>
    <r>
      <rPr>
        <rFont val="Helvetica"/>
        <color rgb="FF231F20"/>
        <sz val="10.0"/>
      </rPr>
      <t>SA-10</t>
    </r>
  </si>
  <si>
    <r>
      <rPr>
        <rFont val="Helvetica"/>
        <color rgb="FF231F20"/>
        <sz val="10.0"/>
      </rPr>
      <t>Developer Configuration Management</t>
    </r>
  </si>
  <si>
    <r>
      <rPr>
        <rFont val="Helvetica"/>
        <color rgb="FF231F20"/>
        <sz val="10.0"/>
      </rPr>
      <t>SA-11</t>
    </r>
  </si>
  <si>
    <r>
      <rPr>
        <rFont val="Helvetica"/>
        <color rgb="FF231F20"/>
        <sz val="10.0"/>
      </rPr>
      <t>Developer Security Testing and Evaluation</t>
    </r>
  </si>
  <si>
    <r>
      <rPr>
        <rFont val="Helvetica"/>
        <color rgb="FF231F20"/>
        <sz val="10.0"/>
      </rPr>
      <t>SA-12</t>
    </r>
  </si>
  <si>
    <r>
      <rPr>
        <rFont val="Helvetica"/>
        <color rgb="FF231F20"/>
        <sz val="10.0"/>
      </rPr>
      <t>Supply Chain Protection</t>
    </r>
  </si>
  <si>
    <r>
      <rPr>
        <rFont val="Helvetica"/>
        <color rgb="FF231F20"/>
        <sz val="10.0"/>
      </rPr>
      <t>SA-13</t>
    </r>
  </si>
  <si>
    <r>
      <rPr>
        <rFont val="Helvetica"/>
        <color rgb="FF231F20"/>
        <sz val="10.0"/>
      </rPr>
      <t>Trustworthiness</t>
    </r>
  </si>
  <si>
    <r>
      <rPr>
        <rFont val="Helvetica"/>
        <color rgb="FF231F20"/>
        <sz val="10.0"/>
      </rPr>
      <t>SA-14</t>
    </r>
  </si>
  <si>
    <r>
      <rPr>
        <rFont val="Helvetica"/>
        <color rgb="FF231F20"/>
        <sz val="10.0"/>
      </rPr>
      <t>Criticality Analysis</t>
    </r>
  </si>
  <si>
    <r>
      <rPr>
        <rFont val="Helvetica"/>
        <color rgb="FF231F20"/>
        <sz val="10.0"/>
      </rPr>
      <t>SA-15</t>
    </r>
  </si>
  <si>
    <t>Development Process, Standards, and Tools</t>
  </si>
  <si>
    <r>
      <rPr>
        <rFont val="Helvetica"/>
        <color rgb="FF231F20"/>
        <sz val="10.0"/>
      </rPr>
      <t>SA-16</t>
    </r>
  </si>
  <si>
    <r>
      <rPr>
        <rFont val="Helvetica"/>
        <color rgb="FF231F20"/>
        <sz val="10.0"/>
      </rPr>
      <t>Developer-Provided Training</t>
    </r>
  </si>
  <si>
    <r>
      <rPr>
        <rFont val="Helvetica"/>
        <color rgb="FF231F20"/>
        <sz val="10.0"/>
      </rPr>
      <t>SA-17</t>
    </r>
  </si>
  <si>
    <r>
      <rPr>
        <rFont val="Helvetica"/>
        <color rgb="FF231F20"/>
        <sz val="10.0"/>
      </rPr>
      <t>Developer Security Architecture and Design</t>
    </r>
  </si>
  <si>
    <r>
      <rPr>
        <rFont val="Helvetica"/>
        <color rgb="FF231F20"/>
        <sz val="10.0"/>
      </rPr>
      <t>SA-18</t>
    </r>
  </si>
  <si>
    <r>
      <rPr>
        <rFont val="Helvetica"/>
        <color rgb="FF231F20"/>
        <sz val="10.0"/>
      </rPr>
      <t>Tamper Resistance and Detection</t>
    </r>
  </si>
  <si>
    <r>
      <rPr>
        <rFont val="Helvetica"/>
        <color rgb="FF231F20"/>
        <sz val="10.0"/>
      </rPr>
      <t>SA-19</t>
    </r>
  </si>
  <si>
    <r>
      <rPr>
        <rFont val="Helvetica"/>
        <color rgb="FF231F20"/>
        <sz val="10.0"/>
      </rPr>
      <t>Component Authenticity</t>
    </r>
  </si>
  <si>
    <r>
      <rPr>
        <rFont val="Helvetica"/>
        <color rgb="FF231F20"/>
        <sz val="10.0"/>
      </rPr>
      <t>SA-20</t>
    </r>
  </si>
  <si>
    <t>Customized Development of Critical Components</t>
  </si>
  <si>
    <r>
      <rPr>
        <rFont val="Helvetica"/>
        <color rgb="FF231F20"/>
        <sz val="10.0"/>
      </rPr>
      <t>SA-21</t>
    </r>
  </si>
  <si>
    <r>
      <rPr>
        <rFont val="Helvetica"/>
        <color rgb="FF231F20"/>
        <sz val="10.0"/>
      </rPr>
      <t>Developer Screening</t>
    </r>
  </si>
  <si>
    <r>
      <rPr>
        <rFont val="Helvetica"/>
        <color rgb="FF231F20"/>
        <sz val="10.0"/>
      </rPr>
      <t>SA-22</t>
    </r>
  </si>
  <si>
    <r>
      <rPr>
        <rFont val="Helvetica"/>
        <color rgb="FF231F20"/>
        <sz val="10.0"/>
      </rPr>
      <t>Unsupported System Components</t>
    </r>
  </si>
  <si>
    <r>
      <rPr>
        <rFont val="Helvetica"/>
        <color rgb="FF231F20"/>
        <sz val="10.0"/>
      </rPr>
      <t>SC-1</t>
    </r>
  </si>
  <si>
    <t>System and Communications Protection Policy and Procedures</t>
  </si>
  <si>
    <r>
      <rPr>
        <rFont val="Helvetica"/>
        <color rgb="FF231F20"/>
        <sz val="10.0"/>
      </rPr>
      <t>SC-2</t>
    </r>
  </si>
  <si>
    <r>
      <rPr>
        <rFont val="Helvetica"/>
        <color rgb="FF231F20"/>
        <sz val="10.0"/>
      </rPr>
      <t>Application Partitioning</t>
    </r>
  </si>
  <si>
    <r>
      <rPr>
        <rFont val="Helvetica"/>
        <color rgb="FF231F20"/>
        <sz val="10.0"/>
      </rPr>
      <t>SC-3</t>
    </r>
  </si>
  <si>
    <r>
      <rPr>
        <rFont val="Helvetica"/>
        <color rgb="FF231F20"/>
        <sz val="10.0"/>
      </rPr>
      <t>Security Function Isolation</t>
    </r>
  </si>
  <si>
    <r>
      <rPr>
        <rFont val="Helvetica"/>
        <color rgb="FF231F20"/>
        <sz val="10.0"/>
      </rPr>
      <t>SC-4</t>
    </r>
  </si>
  <si>
    <r>
      <rPr>
        <rFont val="Helvetica"/>
        <color rgb="FF231F20"/>
        <sz val="10.0"/>
      </rPr>
      <t>Information in Shared Resources</t>
    </r>
  </si>
  <si>
    <r>
      <rPr>
        <rFont val="Helvetica"/>
        <color rgb="FF231F20"/>
        <sz val="10.0"/>
      </rPr>
      <t>SC-5</t>
    </r>
  </si>
  <si>
    <r>
      <rPr>
        <rFont val="Helvetica"/>
        <color rgb="FF231F20"/>
        <sz val="10.0"/>
      </rPr>
      <t>Denial of Service Protection</t>
    </r>
  </si>
  <si>
    <r>
      <rPr>
        <rFont val="Helvetica"/>
        <color rgb="FF231F20"/>
        <sz val="10.0"/>
      </rPr>
      <t>SC-6</t>
    </r>
  </si>
  <si>
    <r>
      <rPr>
        <rFont val="Helvetica"/>
        <color rgb="FF231F20"/>
        <sz val="10.0"/>
      </rPr>
      <t>Resource Availability</t>
    </r>
  </si>
  <si>
    <r>
      <rPr>
        <rFont val="Helvetica"/>
        <color rgb="FF231F20"/>
        <sz val="10.0"/>
      </rPr>
      <t>SC-7</t>
    </r>
  </si>
  <si>
    <r>
      <rPr>
        <rFont val="Helvetica"/>
        <color rgb="FF231F20"/>
        <sz val="10.0"/>
      </rPr>
      <t>Boundary Protection</t>
    </r>
  </si>
  <si>
    <r>
      <rPr>
        <rFont val="Helvetica"/>
        <color rgb="FF231F20"/>
        <sz val="10.0"/>
      </rPr>
      <t>SC-8</t>
    </r>
  </si>
  <si>
    <r>
      <rPr>
        <rFont val="Helvetica"/>
        <color rgb="FF231F20"/>
        <sz val="10.0"/>
      </rPr>
      <t>Transmission Confidentiality and Integrity</t>
    </r>
  </si>
  <si>
    <r>
      <rPr>
        <rFont val="Helvetica"/>
        <color rgb="FF231F20"/>
        <sz val="10.0"/>
      </rPr>
      <t>SC-9</t>
    </r>
  </si>
  <si>
    <r>
      <rPr>
        <rFont val="Helvetica"/>
        <b/>
        <color rgb="FF231F20"/>
        <sz val="10.0"/>
      </rPr>
      <t>Withdrawn</t>
    </r>
  </si>
  <si>
    <r>
      <rPr>
        <rFont val="Helvetica"/>
        <color rgb="FF231F20"/>
        <sz val="10.0"/>
      </rPr>
      <t>SC-10</t>
    </r>
  </si>
  <si>
    <r>
      <rPr>
        <rFont val="Helvetica"/>
        <color rgb="FF231F20"/>
        <sz val="10.0"/>
      </rPr>
      <t>Network Disconnect</t>
    </r>
  </si>
  <si>
    <r>
      <rPr>
        <rFont val="Helvetica"/>
        <color rgb="FF231F20"/>
        <sz val="10.0"/>
      </rPr>
      <t>SC-11</t>
    </r>
  </si>
  <si>
    <r>
      <rPr>
        <rFont val="Helvetica"/>
        <color rgb="FF231F20"/>
        <sz val="10.0"/>
      </rPr>
      <t>Trusted Path</t>
    </r>
  </si>
  <si>
    <r>
      <rPr>
        <rFont val="Helvetica"/>
        <color rgb="FF231F20"/>
        <sz val="10.0"/>
      </rPr>
      <t>SC-12</t>
    </r>
  </si>
  <si>
    <t>Cryptographic Key Establishment and Management</t>
  </si>
  <si>
    <r>
      <rPr>
        <rFont val="Helvetica"/>
        <color rgb="FF231F20"/>
        <sz val="10.0"/>
      </rPr>
      <t>SC-13</t>
    </r>
  </si>
  <si>
    <r>
      <rPr>
        <rFont val="Helvetica"/>
        <color rgb="FF231F20"/>
        <sz val="10.0"/>
      </rPr>
      <t>Cryptographic Protection</t>
    </r>
  </si>
  <si>
    <r>
      <rPr>
        <rFont val="Helvetica"/>
        <color rgb="FF231F20"/>
        <sz val="10.0"/>
      </rPr>
      <t>SC-14</t>
    </r>
  </si>
  <si>
    <r>
      <rPr>
        <rFont val="Helvetica"/>
        <b/>
        <color rgb="FF231F20"/>
        <sz val="10.0"/>
      </rPr>
      <t>Withdrawn</t>
    </r>
  </si>
  <si>
    <r>
      <rPr>
        <rFont val="Helvetica"/>
        <color rgb="FF231F20"/>
        <sz val="10.0"/>
      </rPr>
      <t>SC-15</t>
    </r>
  </si>
  <si>
    <r>
      <rPr>
        <rFont val="Helvetica"/>
        <color rgb="FF231F20"/>
        <sz val="10.0"/>
      </rPr>
      <t>Collaborative Computing Devices</t>
    </r>
  </si>
  <si>
    <r>
      <rPr>
        <rFont val="Helvetica"/>
        <color rgb="FF231F20"/>
        <sz val="10.0"/>
      </rPr>
      <t>SC-16</t>
    </r>
  </si>
  <si>
    <r>
      <rPr>
        <rFont val="Helvetica"/>
        <color rgb="FF231F20"/>
        <sz val="10.0"/>
      </rPr>
      <t>Transmission of Security Attributes</t>
    </r>
  </si>
  <si>
    <r>
      <rPr>
        <rFont val="Helvetica"/>
        <color rgb="FF231F20"/>
        <sz val="10.0"/>
      </rPr>
      <t>SC-17</t>
    </r>
  </si>
  <si>
    <r>
      <rPr>
        <rFont val="Helvetica"/>
        <color rgb="FF231F20"/>
        <sz val="10.0"/>
      </rPr>
      <t>Public Key Infrastructure Certificates</t>
    </r>
  </si>
  <si>
    <r>
      <rPr>
        <rFont val="Helvetica"/>
        <color rgb="FF231F20"/>
        <sz val="10.0"/>
      </rPr>
      <t>SC-18</t>
    </r>
  </si>
  <si>
    <r>
      <rPr>
        <rFont val="Helvetica"/>
        <color rgb="FF231F20"/>
        <sz val="10.0"/>
      </rPr>
      <t>Mobile Code</t>
    </r>
  </si>
  <si>
    <r>
      <rPr>
        <rFont val="Helvetica"/>
        <color rgb="FF231F20"/>
        <sz val="10.0"/>
      </rPr>
      <t>SC-19</t>
    </r>
  </si>
  <si>
    <r>
      <rPr>
        <rFont val="Helvetica"/>
        <color rgb="FF231F20"/>
        <sz val="10.0"/>
      </rPr>
      <t>Voice Over Internet Protocol</t>
    </r>
  </si>
  <si>
    <r>
      <rPr>
        <rFont val="Helvetica"/>
        <color rgb="FF231F20"/>
        <sz val="10.0"/>
      </rPr>
      <t>SC-20</t>
    </r>
  </si>
  <si>
    <t>Secure Name /Address Resolution Service (Authoritative Source)</t>
  </si>
  <si>
    <r>
      <rPr>
        <rFont val="Helvetica"/>
        <color rgb="FF231F20"/>
        <sz val="10.0"/>
      </rPr>
      <t>SC-21</t>
    </r>
  </si>
  <si>
    <t>Secure Name /Address Resolution Service (Recursive or Caching Resolver)</t>
  </si>
  <si>
    <r>
      <rPr>
        <rFont val="Helvetica"/>
        <color rgb="FF231F20"/>
        <sz val="10.0"/>
      </rPr>
      <t>SC-22</t>
    </r>
  </si>
  <si>
    <t>Architecture and Provisioning for Name/Address Resolution Service</t>
  </si>
  <si>
    <r>
      <rPr>
        <rFont val="Helvetica"/>
        <color rgb="FF231F20"/>
        <sz val="10.0"/>
      </rPr>
      <t>SC-23</t>
    </r>
  </si>
  <si>
    <r>
      <rPr>
        <rFont val="Helvetica"/>
        <color rgb="FF231F20"/>
        <sz val="10.0"/>
      </rPr>
      <t>Session Authenticity</t>
    </r>
  </si>
  <si>
    <r>
      <rPr>
        <rFont val="Helvetica"/>
        <color rgb="FF231F20"/>
        <sz val="10.0"/>
      </rPr>
      <t>SC-24</t>
    </r>
  </si>
  <si>
    <r>
      <rPr>
        <rFont val="Helvetica"/>
        <color rgb="FF231F20"/>
        <sz val="10.0"/>
      </rPr>
      <t>Fail in Known State</t>
    </r>
  </si>
  <si>
    <r>
      <rPr>
        <rFont val="Helvetica"/>
        <color rgb="FF231F20"/>
        <sz val="10.0"/>
      </rPr>
      <t>SC-25</t>
    </r>
  </si>
  <si>
    <r>
      <rPr>
        <rFont val="Helvetica"/>
        <color rgb="FF231F20"/>
        <sz val="10.0"/>
      </rPr>
      <t>Thin Nodes</t>
    </r>
  </si>
  <si>
    <r>
      <rPr>
        <rFont val="Helvetica"/>
        <color rgb="FF231F20"/>
        <sz val="10.0"/>
      </rPr>
      <t>SC-26</t>
    </r>
  </si>
  <si>
    <r>
      <rPr>
        <rFont val="Helvetica"/>
        <color rgb="FF231F20"/>
        <sz val="10.0"/>
      </rPr>
      <t>Honeypots</t>
    </r>
  </si>
  <si>
    <r>
      <rPr>
        <rFont val="Helvetica"/>
        <color rgb="FF231F20"/>
        <sz val="10.0"/>
      </rPr>
      <t>SC-27</t>
    </r>
  </si>
  <si>
    <r>
      <rPr>
        <rFont val="Helvetica"/>
        <color rgb="FF231F20"/>
        <sz val="10.0"/>
      </rPr>
      <t>Platform-Independent Applications</t>
    </r>
  </si>
  <si>
    <r>
      <rPr>
        <rFont val="Helvetica"/>
        <color rgb="FF231F20"/>
        <sz val="10.0"/>
      </rPr>
      <t>SC-28</t>
    </r>
  </si>
  <si>
    <r>
      <rPr>
        <rFont val="Helvetica"/>
        <color rgb="FF231F20"/>
        <sz val="10.0"/>
      </rPr>
      <t>Protection of Information at Rest</t>
    </r>
  </si>
  <si>
    <r>
      <rPr>
        <rFont val="Helvetica"/>
        <color rgb="FF231F20"/>
        <sz val="10.0"/>
      </rPr>
      <t>SC-29</t>
    </r>
  </si>
  <si>
    <r>
      <rPr>
        <rFont val="Helvetica"/>
        <color rgb="FF231F20"/>
        <sz val="10.0"/>
      </rPr>
      <t>Heterogeneity</t>
    </r>
  </si>
  <si>
    <r>
      <rPr>
        <rFont val="Helvetica"/>
        <color rgb="FF231F20"/>
        <sz val="10.0"/>
      </rPr>
      <t>SC-30</t>
    </r>
  </si>
  <si>
    <r>
      <rPr>
        <rFont val="Helvetica"/>
        <color rgb="FF231F20"/>
        <sz val="10.0"/>
      </rPr>
      <t>Concealment and Misdirection</t>
    </r>
  </si>
  <si>
    <r>
      <rPr>
        <rFont val="Helvetica"/>
        <color rgb="FF231F20"/>
        <sz val="10.0"/>
      </rPr>
      <t>SC-31</t>
    </r>
  </si>
  <si>
    <r>
      <rPr>
        <rFont val="Helvetica"/>
        <color rgb="FF231F20"/>
        <sz val="10.0"/>
      </rPr>
      <t>Covert Channel Analysis</t>
    </r>
  </si>
  <si>
    <r>
      <rPr>
        <rFont val="Helvetica"/>
        <color rgb="FF231F20"/>
        <sz val="10.0"/>
      </rPr>
      <t>SC-32</t>
    </r>
  </si>
  <si>
    <r>
      <rPr>
        <rFont val="Helvetica"/>
        <color rgb="FF231F20"/>
        <sz val="10.0"/>
      </rPr>
      <t>Information System Partitioning</t>
    </r>
  </si>
  <si>
    <r>
      <rPr>
        <rFont val="Helvetica"/>
        <color rgb="FF231F20"/>
        <sz val="10.0"/>
      </rPr>
      <t>SC-33</t>
    </r>
  </si>
  <si>
    <r>
      <rPr>
        <rFont val="Helvetica"/>
        <b/>
        <color rgb="FF231F20"/>
        <sz val="10.0"/>
      </rPr>
      <t>Withdrawn</t>
    </r>
  </si>
  <si>
    <r>
      <rPr>
        <rFont val="Helvetica"/>
        <color rgb="FF231F20"/>
        <sz val="10.0"/>
      </rPr>
      <t>SC-34</t>
    </r>
  </si>
  <si>
    <r>
      <rPr>
        <rFont val="Helvetica"/>
        <color rgb="FF231F20"/>
        <sz val="10.0"/>
      </rPr>
      <t>Non-Modifiable Executable Programs</t>
    </r>
  </si>
  <si>
    <r>
      <rPr>
        <rFont val="Helvetica"/>
        <color rgb="FF231F20"/>
        <sz val="10.0"/>
      </rPr>
      <t>SC-35</t>
    </r>
  </si>
  <si>
    <r>
      <rPr>
        <rFont val="Helvetica"/>
        <color rgb="FF231F20"/>
        <sz val="10.0"/>
      </rPr>
      <t>Honeyclients</t>
    </r>
  </si>
  <si>
    <r>
      <rPr>
        <rFont val="Helvetica"/>
        <color rgb="FF231F20"/>
        <sz val="10.0"/>
      </rPr>
      <t>SC-36</t>
    </r>
  </si>
  <si>
    <r>
      <rPr>
        <rFont val="Helvetica"/>
        <color rgb="FF231F20"/>
        <sz val="10.0"/>
      </rPr>
      <t>Distributed Processing and Storage</t>
    </r>
  </si>
  <si>
    <r>
      <rPr>
        <rFont val="Helvetica"/>
        <color rgb="FF231F20"/>
        <sz val="10.0"/>
      </rPr>
      <t>SC-37</t>
    </r>
  </si>
  <si>
    <r>
      <rPr>
        <rFont val="Helvetica"/>
        <color rgb="FF231F20"/>
        <sz val="10.0"/>
      </rPr>
      <t>Out-of-Band Channels</t>
    </r>
  </si>
  <si>
    <r>
      <rPr>
        <rFont val="Helvetica"/>
        <color rgb="FF231F20"/>
        <sz val="10.0"/>
      </rPr>
      <t>SC-38</t>
    </r>
  </si>
  <si>
    <r>
      <rPr>
        <rFont val="Helvetica"/>
        <color rgb="FF231F20"/>
        <sz val="10.0"/>
      </rPr>
      <t>Operations Security</t>
    </r>
  </si>
  <si>
    <r>
      <rPr>
        <rFont val="Helvetica"/>
        <color rgb="FF231F20"/>
        <sz val="10.0"/>
      </rPr>
      <t>SC-39</t>
    </r>
  </si>
  <si>
    <r>
      <rPr>
        <rFont val="Helvetica"/>
        <color rgb="FF231F20"/>
        <sz val="10.0"/>
      </rPr>
      <t>Process Isolation</t>
    </r>
  </si>
  <si>
    <r>
      <rPr>
        <rFont val="Helvetica"/>
        <color rgb="FF231F20"/>
        <sz val="10.0"/>
      </rPr>
      <t>SC-40</t>
    </r>
  </si>
  <si>
    <r>
      <rPr>
        <rFont val="Helvetica"/>
        <color rgb="FF231F20"/>
        <sz val="10.0"/>
      </rPr>
      <t>Wireless Link Protection</t>
    </r>
  </si>
  <si>
    <r>
      <rPr>
        <rFont val="Helvetica"/>
        <color rgb="FF231F20"/>
        <sz val="10.0"/>
      </rPr>
      <t>SC-41</t>
    </r>
  </si>
  <si>
    <r>
      <rPr>
        <rFont val="Helvetica"/>
        <color rgb="FF231F20"/>
        <sz val="10.0"/>
      </rPr>
      <t>Port and I/O Device Access</t>
    </r>
  </si>
  <si>
    <r>
      <rPr>
        <rFont val="Helvetica"/>
        <color rgb="FF231F20"/>
        <sz val="10.0"/>
      </rPr>
      <t>SC-42</t>
    </r>
  </si>
  <si>
    <r>
      <rPr>
        <rFont val="Helvetica"/>
        <color rgb="FF231F20"/>
        <sz val="10.0"/>
      </rPr>
      <t>Sensor Capability and Data</t>
    </r>
  </si>
  <si>
    <r>
      <rPr>
        <rFont val="Helvetica"/>
        <color rgb="FF231F20"/>
        <sz val="10.0"/>
      </rPr>
      <t>SC-43</t>
    </r>
  </si>
  <si>
    <r>
      <rPr>
        <rFont val="Helvetica"/>
        <color rgb="FF231F20"/>
        <sz val="10.0"/>
      </rPr>
      <t>Usage Restrictions</t>
    </r>
  </si>
  <si>
    <r>
      <rPr>
        <rFont val="Helvetica"/>
        <color rgb="FF231F20"/>
        <sz val="10.0"/>
      </rPr>
      <t>SC-44</t>
    </r>
  </si>
  <si>
    <r>
      <rPr>
        <rFont val="Helvetica"/>
        <color rgb="FF231F20"/>
        <sz val="10.0"/>
      </rPr>
      <t>Detonation Chambers</t>
    </r>
  </si>
  <si>
    <r>
      <rPr>
        <rFont val="Helvetica"/>
        <color rgb="FF231F20"/>
        <sz val="10.0"/>
      </rPr>
      <t>SI-1</t>
    </r>
  </si>
  <si>
    <t>System and Information Integrity Policy and Procedures</t>
  </si>
  <si>
    <r>
      <rPr>
        <rFont val="Helvetica"/>
        <color rgb="FF231F20"/>
        <sz val="10.0"/>
      </rPr>
      <t>SI-2</t>
    </r>
  </si>
  <si>
    <r>
      <rPr>
        <rFont val="Helvetica"/>
        <color rgb="FF231F20"/>
        <sz val="10.0"/>
      </rPr>
      <t>Flaw Remediation</t>
    </r>
  </si>
  <si>
    <r>
      <rPr>
        <rFont val="Helvetica"/>
        <color rgb="FF231F20"/>
        <sz val="10.0"/>
      </rPr>
      <t>SI-3</t>
    </r>
  </si>
  <si>
    <r>
      <rPr>
        <rFont val="Helvetica"/>
        <color rgb="FF231F20"/>
        <sz val="10.0"/>
      </rPr>
      <t>Malicious Code Protection</t>
    </r>
  </si>
  <si>
    <r>
      <rPr>
        <rFont val="Helvetica"/>
        <color rgb="FF231F20"/>
        <sz val="10.0"/>
      </rPr>
      <t>SI-4</t>
    </r>
  </si>
  <si>
    <r>
      <rPr>
        <rFont val="Helvetica"/>
        <color rgb="FF231F20"/>
        <sz val="10.0"/>
      </rPr>
      <t>Information System Monitoring</t>
    </r>
  </si>
  <si>
    <r>
      <rPr>
        <rFont val="Helvetica"/>
        <color rgb="FF231F20"/>
        <sz val="10.0"/>
      </rPr>
      <t>SI-5</t>
    </r>
  </si>
  <si>
    <r>
      <rPr>
        <rFont val="Helvetica"/>
        <color rgb="FF231F20"/>
        <sz val="10.0"/>
      </rPr>
      <t>Security Alerts, Advisories, and Directives</t>
    </r>
  </si>
  <si>
    <r>
      <rPr>
        <rFont val="Helvetica"/>
        <color rgb="FF231F20"/>
        <sz val="10.0"/>
      </rPr>
      <t>SI-6</t>
    </r>
  </si>
  <si>
    <r>
      <rPr>
        <rFont val="Helvetica"/>
        <color rgb="FF231F20"/>
        <sz val="10.0"/>
      </rPr>
      <t>Security Function Verification</t>
    </r>
  </si>
  <si>
    <r>
      <rPr>
        <rFont val="Helvetica"/>
        <color rgb="FF231F20"/>
        <sz val="10.0"/>
      </rPr>
      <t>SI-7</t>
    </r>
  </si>
  <si>
    <t>Software, Firmware, and Information Integrity</t>
  </si>
  <si>
    <r>
      <rPr>
        <rFont val="Helvetica"/>
        <color rgb="FF231F20"/>
        <sz val="10.0"/>
      </rPr>
      <t>SI-8</t>
    </r>
  </si>
  <si>
    <r>
      <rPr>
        <rFont val="Helvetica"/>
        <color rgb="FF231F20"/>
        <sz val="10.0"/>
      </rPr>
      <t>Spam Protection</t>
    </r>
  </si>
  <si>
    <r>
      <rPr>
        <rFont val="Helvetica"/>
        <color rgb="FF231F20"/>
        <sz val="10.0"/>
      </rPr>
      <t>SI-9</t>
    </r>
  </si>
  <si>
    <r>
      <rPr>
        <rFont val="Helvetica"/>
        <b/>
        <color rgb="FF231F20"/>
        <sz val="10.0"/>
      </rPr>
      <t>Withdrawn</t>
    </r>
  </si>
  <si>
    <r>
      <rPr>
        <rFont val="Helvetica"/>
        <color rgb="FF231F20"/>
        <sz val="10.0"/>
      </rPr>
      <t>SI-10</t>
    </r>
  </si>
  <si>
    <r>
      <rPr>
        <rFont val="Helvetica"/>
        <color rgb="FF231F20"/>
        <sz val="10.0"/>
      </rPr>
      <t>Information Input Validation</t>
    </r>
  </si>
  <si>
    <r>
      <rPr>
        <rFont val="Helvetica"/>
        <color rgb="FF231F20"/>
        <sz val="10.0"/>
      </rPr>
      <t>SI-11</t>
    </r>
  </si>
  <si>
    <r>
      <rPr>
        <rFont val="Helvetica"/>
        <color rgb="FF231F20"/>
        <sz val="10.0"/>
      </rPr>
      <t>Error Handling</t>
    </r>
  </si>
  <si>
    <r>
      <rPr>
        <rFont val="Helvetica"/>
        <color rgb="FF231F20"/>
        <sz val="10.0"/>
      </rPr>
      <t>SI-12</t>
    </r>
  </si>
  <si>
    <r>
      <rPr>
        <rFont val="Helvetica"/>
        <color rgb="FF231F20"/>
        <sz val="10.0"/>
      </rPr>
      <t>Information Handling and Retention</t>
    </r>
  </si>
  <si>
    <r>
      <rPr>
        <rFont val="Helvetica"/>
        <color rgb="FF231F20"/>
        <sz val="10.0"/>
      </rPr>
      <t>SI-13</t>
    </r>
  </si>
  <si>
    <r>
      <rPr>
        <rFont val="Helvetica"/>
        <color rgb="FF231F20"/>
        <sz val="10.0"/>
      </rPr>
      <t>Predictable Failure Prevention</t>
    </r>
  </si>
  <si>
    <r>
      <rPr>
        <rFont val="Helvetica"/>
        <color rgb="FF231F20"/>
        <sz val="10.0"/>
      </rPr>
      <t>SI-14</t>
    </r>
  </si>
  <si>
    <r>
      <rPr>
        <rFont val="Helvetica"/>
        <color rgb="FF231F20"/>
        <sz val="10.0"/>
      </rPr>
      <t>Non-Persistence</t>
    </r>
  </si>
  <si>
    <r>
      <rPr>
        <rFont val="Helvetica"/>
        <color rgb="FF231F20"/>
        <sz val="10.0"/>
      </rPr>
      <t>SI-15</t>
    </r>
  </si>
  <si>
    <r>
      <rPr>
        <rFont val="Helvetica"/>
        <color rgb="FF231F20"/>
        <sz val="10.0"/>
      </rPr>
      <t>Information Output Filtering</t>
    </r>
  </si>
  <si>
    <r>
      <rPr>
        <rFont val="Helvetica"/>
        <color rgb="FF231F20"/>
        <sz val="10.0"/>
      </rPr>
      <t>SI-16</t>
    </r>
  </si>
  <si>
    <r>
      <rPr>
        <rFont val="Helvetica"/>
        <color rgb="FF231F20"/>
        <sz val="10.0"/>
      </rPr>
      <t>Memory Protection</t>
    </r>
  </si>
  <si>
    <r>
      <rPr>
        <rFont val="Helvetica"/>
        <color rgb="FF231F20"/>
        <sz val="10.0"/>
      </rPr>
      <t>SI-17</t>
    </r>
  </si>
  <si>
    <r>
      <rPr>
        <rFont val="Helvetica"/>
        <color rgb="FF231F20"/>
        <sz val="10.0"/>
      </rPr>
      <t>Fail-Safe Procedures</t>
    </r>
  </si>
  <si>
    <r>
      <rPr>
        <rFont val="Helvetica"/>
        <color rgb="FF231F20"/>
        <sz val="10.0"/>
      </rPr>
      <t>PM-1</t>
    </r>
  </si>
  <si>
    <r>
      <rPr>
        <rFont val="Helvetica"/>
        <color rgb="FF231F20"/>
        <sz val="10.0"/>
      </rPr>
      <t>Information Security Program Plan</t>
    </r>
  </si>
  <si>
    <r>
      <rPr>
        <rFont val="Helvetica"/>
        <color rgb="FF231F20"/>
        <sz val="10.0"/>
      </rPr>
      <t>PM-2</t>
    </r>
  </si>
  <si>
    <r>
      <rPr>
        <rFont val="Helvetica"/>
        <color rgb="FF231F20"/>
        <sz val="10.0"/>
      </rPr>
      <t>Senior Information Security Officer</t>
    </r>
  </si>
  <si>
    <r>
      <rPr>
        <rFont val="Helvetica"/>
        <color rgb="FF231F20"/>
        <sz val="10.0"/>
      </rPr>
      <t>PM-3</t>
    </r>
  </si>
  <si>
    <r>
      <rPr>
        <rFont val="Helvetica"/>
        <color rgb="FF231F20"/>
        <sz val="10.0"/>
      </rPr>
      <t>Information Security Resources</t>
    </r>
  </si>
  <si>
    <r>
      <rPr>
        <rFont val="Helvetica"/>
        <color rgb="FF231F20"/>
        <sz val="10.0"/>
      </rPr>
      <t>PM-4</t>
    </r>
  </si>
  <si>
    <r>
      <rPr>
        <rFont val="Helvetica"/>
        <color rgb="FF231F20"/>
        <sz val="10.0"/>
      </rPr>
      <t>Plan of Action and Milestones Process</t>
    </r>
  </si>
  <si>
    <r>
      <rPr>
        <rFont val="Helvetica"/>
        <color rgb="FF231F20"/>
        <sz val="10.0"/>
      </rPr>
      <t>PM-5</t>
    </r>
  </si>
  <si>
    <r>
      <rPr>
        <rFont val="Helvetica"/>
        <color rgb="FF231F20"/>
        <sz val="10.0"/>
      </rPr>
      <t>Information System Inventory</t>
    </r>
  </si>
  <si>
    <r>
      <rPr>
        <rFont val="Helvetica"/>
        <color rgb="FF231F20"/>
        <sz val="10.0"/>
      </rPr>
      <t>PM-6</t>
    </r>
  </si>
  <si>
    <t>Information Security Measures of Performance</t>
  </si>
  <si>
    <r>
      <rPr>
        <rFont val="Helvetica"/>
        <color rgb="FF231F20"/>
        <sz val="10.0"/>
      </rPr>
      <t>PM-7</t>
    </r>
  </si>
  <si>
    <t>Enterprise Architecture</t>
  </si>
  <si>
    <r>
      <rPr>
        <rFont val="Helvetica"/>
        <color rgb="FF231F20"/>
        <sz val="10.0"/>
      </rPr>
      <t>PM-8</t>
    </r>
  </si>
  <si>
    <t>Critical Infrastructure Plan</t>
  </si>
  <si>
    <r>
      <rPr>
        <rFont val="Helvetica"/>
        <color rgb="FF231F20"/>
        <sz val="10.0"/>
      </rPr>
      <t>PM-9</t>
    </r>
  </si>
  <si>
    <t>Risk Management Strategy</t>
  </si>
  <si>
    <r>
      <rPr>
        <rFont val="Helvetica"/>
        <color rgb="FF231F20"/>
        <sz val="10.0"/>
      </rPr>
      <t>PM-10</t>
    </r>
  </si>
  <si>
    <t>Security Authorization Process</t>
  </si>
  <si>
    <r>
      <rPr>
        <rFont val="Helvetica"/>
        <color rgb="FF231F20"/>
        <sz val="10.0"/>
      </rPr>
      <t>PM-11</t>
    </r>
  </si>
  <si>
    <t>Mission/Business Process Definition</t>
  </si>
  <si>
    <r>
      <rPr>
        <rFont val="Helvetica"/>
        <color rgb="FF231F20"/>
        <sz val="10.0"/>
      </rPr>
      <t>PM-12</t>
    </r>
  </si>
  <si>
    <t>Insider Threat Program</t>
  </si>
  <si>
    <r>
      <rPr>
        <rFont val="Helvetica"/>
        <color rgb="FF231F20"/>
        <sz val="10.0"/>
      </rPr>
      <t>PM-13</t>
    </r>
  </si>
  <si>
    <t>Information Security Workforce</t>
  </si>
  <si>
    <r>
      <rPr>
        <rFont val="Helvetica"/>
        <color rgb="FF231F20"/>
        <sz val="10.0"/>
      </rPr>
      <t>PM-14</t>
    </r>
  </si>
  <si>
    <t>Testing, Training, &amp; Monitoring</t>
  </si>
  <si>
    <r>
      <rPr>
        <rFont val="Helvetica"/>
        <color rgb="FF231F20"/>
        <sz val="10.0"/>
      </rPr>
      <t>PM-15</t>
    </r>
  </si>
  <si>
    <t>Contacts with Security Groups and Associations</t>
  </si>
  <si>
    <r>
      <rPr>
        <rFont val="Helvetica"/>
        <color rgb="FF231F20"/>
        <sz val="10.0"/>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</si>
  <si>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</si>
  <si>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</si>
  <si>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</si>
  <si>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</si>
  <si>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</si>
  <si>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</si>
  <si>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</si>
  <si>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</si>
  <si>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</si>
  <si>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Physical Access Authorizations; Physical Access Control; Access Control for Transmission Medium; Emergency Power; Fire Protection; Temperature and Humidity Controls; External Information System Services</t>
  </si>
  <si>
    <t>System Development Life Cycle; Development Process, Standards, and Tools; Application Partitioning; Senior Information Security Officer; Security Authorization Process; Security Alerts, Advisories, and Directives; Information Security Resources</t>
  </si>
  <si>
    <t>AC-2, AC-3, AC-6</t>
  </si>
  <si>
    <t>Account Management; Access Enforcement; Least Privilege</t>
  </si>
  <si>
    <t>Access Enforcement; Least Functionality; Guide to Enterprise Telework, Remote Access, and Bring Your Own Device (BYOD) Security</t>
  </si>
  <si>
    <t>Internal System Connections; Information in Shared Resources</t>
  </si>
  <si>
    <t>Identification and Authentication (Organizational Users); Authenticator Management</t>
  </si>
  <si>
    <t>Audit and Accountability: reviews and updates; Audit Review, Analysis, and Reporting; Audit Generation; Access Control: Auditing use of privileged functions; Configuration Change Control; Controlled Maintenance; Maintenance Personnel; Physical Access Control</t>
  </si>
  <si>
    <t>Audit Reduction and Report Generation; Protection of Audit Information; Incident Handling; Separation of Duties; Contingency Plan Testing; Information System Recovery and Reconstitution; Contingency Planning Guide for Federal Information Systems</t>
  </si>
  <si>
    <t>Separation of Duties; Contingency Plan Testing; Information System Recovery and Reconstitution; Contingency Planning Guide for Federal Information Systems</t>
  </si>
  <si>
    <t>Configuration Change Control; Security Impact Analysis; Access Restrictions for Change</t>
  </si>
  <si>
    <t>Information Flow Enforcement; Media Access; Media Storage</t>
  </si>
  <si>
    <t>Media Access; Access Control: Full device / container based encryption</t>
  </si>
  <si>
    <t>Information System Backup; Media Transport</t>
  </si>
  <si>
    <t>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t>
  </si>
  <si>
    <t>IR-2, IR-4, IR-9</t>
  </si>
  <si>
    <t>Incident Response Training; Incident Handling; Information Spillage Response</t>
  </si>
  <si>
    <t>IR-2, IR-4, IR-10</t>
  </si>
  <si>
    <t>Incident Response Training; Incident Handling; Integrated Information Security Analysis Team</t>
  </si>
  <si>
    <t>Media Storage; Physical Access Authorizations; Access Control for Output Devices; Monitoring Physical Access; Alternate Work Site</t>
  </si>
  <si>
    <t>Media Access; Media Transport; Media Use</t>
  </si>
  <si>
    <t>Senior Information Security Officer; Security Authorization Process; Security Alerts, Advisories, and Directives; Plan of Action and Milestones; Information Security Program Plan</t>
  </si>
  <si>
    <t>CA-5, CM-3, PM-1, SA-15, SA-3, SA-8, SC-2</t>
  </si>
  <si>
    <t>Plan of Action and Milestones; Configuration Change Control; Information Security Program Plan; Development Process, Standards, and Tools; System Development Life Cycle; Security Engineering Principles; Application Partitioning</t>
  </si>
  <si>
    <t>Plan of Action and Milestones; Information Security Program Plan; Identifier Management; Authenticator Management; Cryptographic Module Authentication; Identification and Authentication (Non- Organizational Users)</t>
  </si>
  <si>
    <t>Plan of Action and Milestones; Information Security Program Plan</t>
  </si>
  <si>
    <t>Baseline Configuration; Configuration Settings; Configuration Change Control; Access Control for Mobile Devices; Controlled Maintenance</t>
  </si>
  <si>
    <t>Security management process: Implement policies and procedures to prevent, detect, contain, and correct security violations.</t>
  </si>
  <si>
    <t>Has the risk management process been completed using IAW NIST Guidelines?</t>
  </si>
  <si>
    <t>1.x</t>
  </si>
  <si>
    <t>Install and maintain a firewall configuration to protect cardholder data</t>
  </si>
  <si>
    <t>Establish and implement firewall and router configuration standards that include the following:</t>
  </si>
  <si>
    <t>1.1.1</t>
  </si>
  <si>
    <t>A formal process for approving and testing all network connections and changes to the firewall and router configurations</t>
  </si>
  <si>
    <t>1.1.2</t>
  </si>
  <si>
    <t>Current network diagram that identifies all connections between the cardholder data environment and other networks, including any wireless networks</t>
  </si>
  <si>
    <t>1.1.3</t>
  </si>
  <si>
    <t>Current diagram that shows all cardholder data flows across systems and networks</t>
  </si>
  <si>
    <t>1.1.4</t>
  </si>
  <si>
    <t>Requirements for a firewall at each Internet connection and between any demilitarized zone (DMZ) and the internal network zone</t>
  </si>
  <si>
    <t>1.1.5</t>
  </si>
  <si>
    <t>Description of groups, roles, and responsibilities for management of network components</t>
  </si>
  <si>
    <t>1.1.6</t>
  </si>
  <si>
    <t>Documentation of business justification and approval for use of all services, protocols, and ports allowed, including documentation of security features implemented for those protocols considered to be insecure.</t>
  </si>
  <si>
    <t>1.1.7</t>
  </si>
  <si>
    <t>Requirement to review firewall and router rule sets at least every six months</t>
  </si>
  <si>
    <t>Build firewall and router configurations that restrict connections between untrusted networks and any system components in the cardholder data environment. Note: An “untrusted network” is any network that is external to the networks belonging to the entity under review, and/or which is out of the entity's ability to control or manage.</t>
  </si>
  <si>
    <t>1.2.1</t>
  </si>
  <si>
    <t>Restrict inbound and outbound traffic to that which is necessary for the cardholder data environment, and specifically deny all other traffic.</t>
  </si>
  <si>
    <t>1.2.2</t>
  </si>
  <si>
    <t>Secure and synchronize router configuration files.</t>
  </si>
  <si>
    <t>1.2.3</t>
  </si>
  <si>
    <t>Install perimeter firewalls between all wireless networks and the cardholder data environment, and configure these firewalls to deny or, if traffic is necessary for business purposes, permit only authorized traffic between the wireless environment and the cardholder data environment.</t>
  </si>
  <si>
    <t>Prohibit direct public access between the Internet and any system component in the cardholder data environment.</t>
  </si>
  <si>
    <t>1.3.1</t>
  </si>
  <si>
    <t>Implement a DMZ to limit inbound traffic to only system components that provide authorized publicly accessible services, protocols, and ports.</t>
  </si>
  <si>
    <t>1.3.2</t>
  </si>
  <si>
    <t>Limit inbound Internet traffic to IP addresses within the DMZ.</t>
  </si>
  <si>
    <t>1.3.3</t>
  </si>
  <si>
    <t>Implement anti-spoofing measures to detect and block forged source IP addresses from entering the network. (For example, block traffic originating from the Internet with an internal source address.)</t>
  </si>
  <si>
    <t>1.3.4</t>
  </si>
  <si>
    <t>Do not allow unauthorized outbound traffic from the cardholder data environment to the Internet.</t>
  </si>
  <si>
    <t>1.3.5</t>
  </si>
  <si>
    <t>Permit only “established” connections into the network.</t>
  </si>
  <si>
    <t>1.3.6</t>
  </si>
  <si>
    <t>Place system components that store cardholder data (such as a database) in an internal network zone, segregated from the DMZ and other untrusted networks.</t>
  </si>
  <si>
    <t>1.3.7</t>
  </si>
  <si>
    <t>Do not disclose private IP addresses and routing information to unauthorized parties. Note: Methods to obscure IP addressing may include, but are not limited to: • Network Address Translation (NAT) • Placing servers containing cardholder data behind proxy servers/firewalls, • Removal or filtering of route advertisements for private networks that employ registered addressing, • Internal use of RFC1918 address space instead of registered addresses.</t>
  </si>
  <si>
    <t>Install personal firewall software or equivalent functionality on any portable computing devices (including company and/or employee-owned) that connect to the Internet when outside the network (for example, laptops used by employees), and which are also used to access the CDE. Firewall (or equivalent) configurations include: • Specific configuration settings are defined. • Personal firewall (or equivalent functionality) is actively running. • Personal firewall (or equivalent functionality) is not alterable by users of the portable computing devices.</t>
  </si>
  <si>
    <t>Ensure that security policies and operational procedures for managing firewalls are documented, in use, and known to all affected parties.</t>
  </si>
  <si>
    <t>2.x</t>
  </si>
  <si>
    <t>Do not use vendor-supplied defaults for system passwords and other security parameters</t>
  </si>
  <si>
    <t>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payment applications, Simple Network Management Protocol (SNMP) community strings, etc.).</t>
  </si>
  <si>
    <t>2.1.1</t>
  </si>
  <si>
    <t>For wireless environments connected to the cardholder data environment or transmitting cardholder data, change ALL wireless vendor defaults at installation, including but not limited to default wireless encryption keys, passwords, and SNMP community strings.</t>
  </si>
  <si>
    <t>Develop configuration standards for all system components. Assure that these standards address all known security vulnerabilities and are consistent with industry-accepted system hardening standards. Sources of industry-accepted system hardening standards may include, but are not limited to: • Center for Internet Security (CIS) • International Organization for Standardization (ISO) • SysAdmin Audit Network Security (SANS) Institute • National Institute of Standards Technology (NIST).</t>
  </si>
  <si>
    <t>2.2.1</t>
  </si>
  <si>
    <t>Implement only one primary function per server to prevent functions that require different security levels from co-existing on the same server. (For example, web servers, database servers, and DNS should be implemented on separate servers.) Note: Where virtualization technologies are in use, implement only one primary function per virtual system component.</t>
  </si>
  <si>
    <t>2.2.2</t>
  </si>
  <si>
    <t>Enable only necessary services, protocols, daemons, etc., as required for the function of the system.</t>
  </si>
  <si>
    <t>2.2.3</t>
  </si>
  <si>
    <t>Implement additional security features for any required services, protocols, or daemons that are considered to be insecure. Note: Where SSL/early TLS is used, the requirements in Appendix A2 must be completed.</t>
  </si>
  <si>
    <t>2.2.4</t>
  </si>
  <si>
    <t>Configure system security parameters to prevent misuse.</t>
  </si>
  <si>
    <t>2.2.5</t>
  </si>
  <si>
    <t>Remove all unnecessary functionality, such as scripts, drivers, features, subsystems, file systems, and unnecessary web servers.</t>
  </si>
  <si>
    <t>Encrypt all non-console administrative access using strong cryptography. Note: Where SSL/early TLS is used, the requirements in Appendix A2 must be completed.</t>
  </si>
  <si>
    <t>Maintain an inventory of system components that are in scope for PCI DSS.</t>
  </si>
  <si>
    <t>Ensure that security policies and operational procedures for managing vendor defaults and other security parameters are documented, in use, and known to all affected parties.</t>
  </si>
  <si>
    <t>Shared hosting providers must protect each entity’s hosted environment and cardholder data. These providers must meet specific requirements as detailed in Appendix A1: Additional PCI DSS Requirements for Shared Hosting Providers.</t>
  </si>
  <si>
    <t>3.x</t>
  </si>
  <si>
    <t>Protect stored cardholder data</t>
  </si>
  <si>
    <t>Keep cardholder data storage to a minimum by implementing data retention and disposal policies, procedures and processes that include at least the following for all cardholder data (CHD) storage: • Limiting data storage amount and retention time to that which is required for legal, regulatory, and/or business requirements • Specific retention requirements for cardholder data • Processes for secure deletion of data when no longer needed • A quarterly process for identifying and securely deleting stored cardholder data that exceeds defined retention.</t>
  </si>
  <si>
    <t>Do not store sensitive authentication data after authorization (even if encrypted). If sensitive authentication data is received, render all data unrecoverable upon completion of the authorization process. It is permissible for issuers and companies that support issuing services to store sensitive authentication data if: • There is a business justification and • The data is stored securely. Sensitive authentication data includes the data as cited in the following Requirements 3.2.1 through 3.2.3:</t>
  </si>
  <si>
    <t>Do not store the full contents of any track (from the magnetic stripe located on the back of a card, equivalent data contained on a chip, or elsewhere) after authorization. This data is alternatively called full track, track, track 1, track 2, and magnetic-stripe data. Note: In the normal course of business, the following data elements from the magnetic stripe may need to be retained: • The cardholder’s name • Primary account number (PAN) • Expiration date • Service code To minimize risk, store only these data elements as needed for business.</t>
  </si>
  <si>
    <t>Do not store the card verification code or value (three-digit or four-digit number printed on the front or back of a payment card used to verify card-not-present transactions) after authorization.</t>
  </si>
  <si>
    <t>Do not store the personal identification number (PIN) or the encrypted PIN block after authorization.</t>
  </si>
  <si>
    <t>Mask PAN when displayed (the first six and last four digits are the maximum number of digits to be displayed), such that only personnel with a legitimate business need can see more than the first six/last four digits of the PAN. Note: This requirement does not supersede stricter requirements in place for displays of cardholder data—for example, legal or payment card brand requirements for point-of-sale (POS) receipts.</t>
  </si>
  <si>
    <t>Render PAN unreadable anywhere it is stored (including on portable digital media, backup media, and in logs) by using any of the following approaches: • One-way hashes based on strong cryptography, (hash must be of the entire PAN) • Truncation (hashing cannot be used to replace the truncated segment of PAN) • Index tokens and pads (pads must be securely stored) • Strong cryptography with associated key-management processes and procedures. Note: It is a relatively trivial effort for a malicious individual to reconstruct original PAN data if they have access to both the truncated and hashed version of a PAN. Where hashed and truncated versions of the same PAN are present in an entity’s environment, additional controls must be in place to ensure that the hashed and truncated versions cannot be correlated to reconstruct the original PAN.</t>
  </si>
  <si>
    <t>If disk encryption is used (rather than file- or column-level database encryption), logical access must be managed separately and independently of native operating system authentication and access control mechanisms (for example, by not using local user account databases or general network login credentials). Decryption keys must not be associated with user accounts. Note: This requirement applies in addition to all other PCI DSS encryption and key-management requirements.</t>
  </si>
  <si>
    <t>Document and implement procedures to protect keys used to secure stored cardholder data against disclosure and misuse: Note: This requirement applies to keys used to encrypt stored cardholder data, and also applies to key-encrypting keys used to protect data-encrypting keys—such key-encrypting keys must be at least as strong as the data-encrypting key.</t>
  </si>
  <si>
    <t>Additional requirement for service providers only: Maintain a documented description of the cryptographic architecture that includes: • Details of all algorithms, protocols, and keys used for the protection of cardholder data, including key strength and expiry date • Description of the key usage for each key. • Inventory of any HSMs and other SCDs used for key management Note: This requirement is a best practice until January 31, 2018, after which it becomes a requirement.</t>
  </si>
  <si>
    <t>Restrict access to cryptographic keys to the fewest number of custodians necessary.</t>
  </si>
  <si>
    <t>Store secret and private keys used to encrypt/decrypt cardholder data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at least two full-length key components or key shares, in accordance with an industry-accepted method Note: It is not required that public keys be stored in one of these forms.</t>
  </si>
  <si>
    <t>Store cryptographic keys in the fewest possible locations.</t>
  </si>
  <si>
    <t>Fully document and implement all key-management processes and procedures for cryptographic keys used for encryption of cardholder data, including the following: Note: Numerous industry standards for key management are available from various resources including NIST, which can be found at http://csrc.nist.gov.</t>
  </si>
  <si>
    <t>Generation of strong cryptographic keys</t>
  </si>
  <si>
    <t>Secure cryptographic key distribution</t>
  </si>
  <si>
    <t>Secure cryptographic key storage</t>
  </si>
  <si>
    <t>3.6.4</t>
  </si>
  <si>
    <t>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t>
  </si>
  <si>
    <t>3.6.5</t>
  </si>
  <si>
    <t>Retirement or replacement (for example, archiving, destruction, and/or revocation) of keys as deemed necessary when the integrity of the key has been weakened (for example, departure of an employee with knowledge of a clear-text key component), or keys are suspected of being compromised. Note: If retired or replaced cryptographic keys need to be retained, these keys must be securely archived (for example, by using a key-encryption key). Archived cryptographic keys should only be used for decryption/verification purposes.</t>
  </si>
  <si>
    <t>3.6.6</t>
  </si>
  <si>
    <t>If manual clear-text cryptographic key-management operations are used, these operations must be managed using split knowledge and dual control. Note: Examples of manual key-management operations include, but are not limited to: key generation, transmission, loading, storage and destruction.</t>
  </si>
  <si>
    <t>3.6.7</t>
  </si>
  <si>
    <t>Prevention of unauthorized substitution of cryptographic keys.</t>
  </si>
  <si>
    <t>3.6.8</t>
  </si>
  <si>
    <t>Requirement for cryptographic key custodians to formally acknowledge that they understand and accept their key-custodian responsibilities.</t>
  </si>
  <si>
    <t>Ensure that security policies and operational procedures for protecting stored cardholder data are documented, in use, and known to all affected parties.</t>
  </si>
  <si>
    <t>4.x</t>
  </si>
  <si>
    <t>Encrypt transmission of cardholder data across open, public networks</t>
  </si>
  <si>
    <t>Use strong cryptography and security protocols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Note: Where SSL/early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t>
  </si>
  <si>
    <t>4.1.1</t>
  </si>
  <si>
    <t>Ensure wireless networks transmitting cardholder data or connected to the cardholder data environment, use industry best practices to implement strong encryption for authentication and transmission.</t>
  </si>
  <si>
    <t>Never send unprotected PANs by end-user messaging technologies (for example, e-mail, instant messaging, SMS, chat, etc.).</t>
  </si>
  <si>
    <t>Ensure that security policies and operational procedures for encrypting transmissions of cardholder data are documented, in use, and known to all affected parties.</t>
  </si>
  <si>
    <t>5.x</t>
  </si>
  <si>
    <t>Use and regularly update anti-virus software or programs</t>
  </si>
  <si>
    <t>Deploy anti-virus software on all systems commonly affected by malicious software (particularly personal computers and servers).</t>
  </si>
  <si>
    <t>Ensure that anti-virus programs are capable of detecting, removing, and protecting against all known types of malicious software.</t>
  </si>
  <si>
    <t>For systems considered to be not commonly affected by malicious software, perform periodic evaluations to identify and evaluate evolving malware threats in order to confirm whether such systems continue to not require anti-virus software.</t>
  </si>
  <si>
    <t>Ensure that all anti-virus mechanisms are maintained as follows: • Are kept current, • Perform periodic scans • Generate audit logs which are retained per PCI DSS Requirement 10.7.</t>
  </si>
  <si>
    <t>Ensure that anti-virus mechanisms are actively running and cannot be disabled or altered by users, unless specifically authorized by management on a case-by-case basis for a limited time period. Note: Anti-virus solutions may be temporarily disabled only if there is legitimate technical need, as authorized by management on a case-by-case basis. If anti-virus protection needs to be disabled for a specific purpose, it must be formally authorized. Additional security measures may also need to be implemented for the period of time during which anti-virus protection is not active.</t>
  </si>
  <si>
    <t>Ensure that security policies and operational procedures for protecting systems against malware are documented, in use, and known to all affected parties.</t>
  </si>
  <si>
    <t>6.x</t>
  </si>
  <si>
    <t>Develop and maintain secure systems and applications</t>
  </si>
  <si>
    <t>Establish a process to identify security vulnerabilities, using reputable outside sources for security vulnerability information, and assign a risk ranking (for example, as “high,” “medium,” or “low”) to newly discovered security vulnerabilities. Note: Risk rankings should be based on industry best practices as well as consideration of potential impact. For example, criteria for ranking vulnerabilities may include consideration of the CVSS base score, and/or the classification by the vendor, and/or type of systems affected. Methods for evaluating vulnerabilities and assigning risk ratings will vary based on an organization’s environment and risk-assessment strategy. Risk rankings should, at a minimum, identify all vulnerabilities considered to be a “high risk” to the environment. In addition to the risk ranking, vulnerabilities may be considered “critical” if they pose an imminent threat to the environment, impact critical systems, and/or would result in a potential compromise if not addressed. Examples of critical systems may include security systems, public-facing devices and systems, databases, and other systems that store, process, or transmit cardholder data.</t>
  </si>
  <si>
    <t>Ensure that all system components and software are protected from known vulnerabilities by installing applicable vendor-supplied security patches. Install critical security patches within one month of release. Note: Critical security patches should be identified according to the risk ranking process defined in Requirement 6.1.</t>
  </si>
  <si>
    <t>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t>
  </si>
  <si>
    <t>6.3.1</t>
  </si>
  <si>
    <t>Remove development, test and/or custom application accounts, user IDs, and passwords before applications become active or are released to customers.</t>
  </si>
  <si>
    <t>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t>
  </si>
  <si>
    <t>Follow change control processes and procedures for all changes to system components. The processes must include the following:</t>
  </si>
  <si>
    <t>6.4.1</t>
  </si>
  <si>
    <t>Separate development/test environments from production environments, and enforce the separation with access controls.</t>
  </si>
  <si>
    <t>6.4.2</t>
  </si>
  <si>
    <t>Separation of duties between development/test and production environments</t>
  </si>
  <si>
    <t>6.4.3</t>
  </si>
  <si>
    <t>Production data (live PANs) are not used for testing or development</t>
  </si>
  <si>
    <t>6.4.4</t>
  </si>
  <si>
    <t>Removal of test data and accounts from system components before the system becomes active/goes into production.</t>
  </si>
  <si>
    <t>Change control procedures must include the following:</t>
  </si>
  <si>
    <t>6.4.5.1</t>
  </si>
  <si>
    <t>Documentation of impact.</t>
  </si>
  <si>
    <t>6.4.5.2</t>
  </si>
  <si>
    <t>Documented change approval by authorized parties.</t>
  </si>
  <si>
    <t>6.4.5.3</t>
  </si>
  <si>
    <t>Functionality testing to verify that the change does not adversely impact the security of the system.</t>
  </si>
  <si>
    <t>6.4.5.4</t>
  </si>
  <si>
    <t>Back-out procedures.</t>
  </si>
  <si>
    <t>6.4.6</t>
  </si>
  <si>
    <t>Upon completion of a significant change, all relevant PCI DSS requirements must be implemented on all new or changed systems and networks, and documentation updated as applicable. Note: This requirement is a best practice until January 31, 2018, after which it becomes a requirement.</t>
  </si>
  <si>
    <t>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</si>
  <si>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6.5.1</t>
  </si>
  <si>
    <t>Injection flaws, particularly SQL injection. Also consider OS Command Injection, LDAP and XPath injection flaws as well as other injection flaws.</t>
  </si>
  <si>
    <t>6.5.2</t>
  </si>
  <si>
    <t>Buffer overflows</t>
  </si>
  <si>
    <t>6.5.3</t>
  </si>
  <si>
    <t>Insecure cryptographic storage</t>
  </si>
  <si>
    <t>6.5.4</t>
  </si>
  <si>
    <t>Insecure communications</t>
  </si>
  <si>
    <t>6.5.5</t>
  </si>
  <si>
    <t>Improper error handling</t>
  </si>
  <si>
    <t>6.5.6</t>
  </si>
  <si>
    <t>All “high risk” vulnerabilities identified in the vulnerability identification process (as defined in PCI DSS Requirement 6.1).</t>
  </si>
  <si>
    <t>6.5.7</t>
  </si>
  <si>
    <t>Cross-site scripting (XSS)</t>
  </si>
  <si>
    <t>6.5.8</t>
  </si>
  <si>
    <t>Improper access control (such as insecure direct object references, failure to restrict URL access, directory traversal, and failure to restrict user access to functions).</t>
  </si>
  <si>
    <t>6.5.9</t>
  </si>
  <si>
    <t>Cross-site request forgery (CSRF)</t>
  </si>
  <si>
    <t>6.5.10</t>
  </si>
  <si>
    <t>Broken authentication and session management</t>
  </si>
  <si>
    <t>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Note: This assessment is not the same as the vulnerability scans performed for Requirement 11.2. • Installing an automated technical solution that detects and prevents web-based attacks (for example, a web-application firewall) in front of public-facing web applications, to continually check all traffic.</t>
  </si>
  <si>
    <t>Ensure that security policies and operational procedures for developing and maintaining secure systems and applications are documented, in use, and known to all affected parties.</t>
  </si>
  <si>
    <t>Restrict access to cardholder data by business need to know</t>
  </si>
  <si>
    <t>Limit access to system components and cardholder data to only those individuals whose job requires such access.</t>
  </si>
  <si>
    <t>Define access needs for each role, including: • System components and data resources that each role needs to access for their job function • Level of privilege required (for example, user, administrator, etc.) for accessing resources.</t>
  </si>
  <si>
    <t>Restrict access to privileged user IDs to least privileges necessary to perform job responsibilities.</t>
  </si>
  <si>
    <t>Assign access based on individual personnel’s job classification and function.</t>
  </si>
  <si>
    <t>7.1.4</t>
  </si>
  <si>
    <t>Require documented approval by authorized parties specifying required privileges.</t>
  </si>
  <si>
    <t>Establish an access control system(s) for systems components that restricts access based on a user’s need to know, and is set to “deny all” unless specifically allowed. This access control system(s) must include the following:</t>
  </si>
  <si>
    <t>Coverage of all system components</t>
  </si>
  <si>
    <t>Assignment of privileges to individuals based on job classification and function.</t>
  </si>
  <si>
    <t>Default “deny-all” setting.</t>
  </si>
  <si>
    <t>Ensure that security policies and operational procedures for restricting access to cardholder data are documented, in use, and known to all affected parties.</t>
  </si>
  <si>
    <t>Assign a unique ID to each person with computer access</t>
  </si>
  <si>
    <t>Define and implement policies and procedures to ensure proper user identification management for non-consumer users and administrators on all system components as follows:</t>
  </si>
  <si>
    <t>Assign all users a unique ID before allowing them to access system components or cardholder data.</t>
  </si>
  <si>
    <t>Control addition, deletion, and modification of user IDs, credentials, and other identifier objects.</t>
  </si>
  <si>
    <t>Immediately revoke access for any terminated users.</t>
  </si>
  <si>
    <t>Remove/disable inactive user accounts within 90 days.</t>
  </si>
  <si>
    <t>8.1.5</t>
  </si>
  <si>
    <t>Manage IDs used by third parties to access, support, or maintain system components via remote access as follows: • Enabled only during the time period needed and disabled when not in use. • Monitored when in use.</t>
  </si>
  <si>
    <t>8.1.6</t>
  </si>
  <si>
    <t>Limit repeated access attempts by locking out the user ID after not more than six attempts.</t>
  </si>
  <si>
    <t>8.1.7</t>
  </si>
  <si>
    <t>Set the lockout duration to a minimum of 30 minutes or until an administrator enables the user ID.</t>
  </si>
  <si>
    <t>8.1.8</t>
  </si>
  <si>
    <t>If a session has been idle for more than 15 minutes, require the user to re-authenticate to re-activate the terminal or session.</t>
  </si>
  <si>
    <t>In addition to assigning a unique ID, ensure proper user-authentication management for non-consumer users and administrators on all system components by employing at least one of the following methods to authenticate all users: • Something you know, such as a password or passphrase • Something you have, such as a token device or smart card • Something you are, such as a biometric.</t>
  </si>
  <si>
    <t>Using strong cryptography, render all authentication credentials (such as passwords/phrases) unreadable during transmission and storage on all system components.</t>
  </si>
  <si>
    <t>Verify user identity before modifying any authentication credential—for example, performing password resets, provisioning new tokens, or generating new keys.</t>
  </si>
  <si>
    <t>Passwords/passphrases must meet the following: • Require a minimum length of at least seven characters. • Contain both numeric and alphabetic characters. Alternatively, the passwords/passphrases must have complexity and strength at least equivalent to the parameters specified above.</t>
  </si>
  <si>
    <t>8.2.4</t>
  </si>
  <si>
    <t>Change user passwords/passphrases at least once every 90 days.</t>
  </si>
  <si>
    <t>8.2.5</t>
  </si>
  <si>
    <t>Do not allow an individual to submit a new password/passphrase that is the same as any of the last four passwords/passphrases he or she has used.</t>
  </si>
  <si>
    <t>8.2.6</t>
  </si>
  <si>
    <t>Set passwords/passphrases for first-time use and upon reset to a unique value for each user, and change immediately after the first use.</t>
  </si>
  <si>
    <t>Secure all individual non-console administrative access and all remote access to the CDE using multi-factor authentication. Note: Multi-factor authentication requires that a minimum of two of the three authentication methods (see Requirement 8.2 for descriptions of authentication methods) be used for authentication. Using one factor twice (for example, using two separate passwords) is not considered multi-factor authentication.</t>
  </si>
  <si>
    <t>Incorporate multi-factor authentication for all non-console access into the CDE for personnel with administrative access. Note: This requirement is a best practice until January 31, 2018, after which it becomes a requirement.</t>
  </si>
  <si>
    <t>Incorporate multi-factor authentication for all remote network access (both user and administrator, and including third party access for support or maintenance) originating from outside the entity's network.</t>
  </si>
  <si>
    <t>Document and communicate authentication policies and procedures to all users including: • Guidance on selecting strong authentication credentials • Guidance for how users should protect their authentication credentials • Instructions not to reuse previously used passwords • Instructions to change passwords if there is any suspicion the password could be compromised.</t>
  </si>
  <si>
    <t>Do not use group, shared, or generic IDs, passwords, or other authentication methods as follows: • Generic user IDs are disabled or removed. • Shared user IDs do not exist for system administration and other critical functions. • Shared and generic user IDs are not used to administer any system components.</t>
  </si>
  <si>
    <t>8.5.1</t>
  </si>
  <si>
    <t>Additional requirement for service providers only: Service providers with remote access to customer premises (for example, for support of POS systems or servers) must use a unique authentication credential (such as a password/phrase) for each customer. Note: This requirement is not intended to apply to shared hosting providers accessing their own hosting environment, where multiple customer environments are hosted.</t>
  </si>
  <si>
    <t>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t>
  </si>
  <si>
    <t>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t>
  </si>
  <si>
    <t>Ensure that security policies and operational procedures for identification and authentication are documented, in use, and known to all affected parties.</t>
  </si>
  <si>
    <t>Restrict physical access to cardholder data</t>
  </si>
  <si>
    <t>Use appropriate facility entry controls to limit and monitor physical access to systems in the cardholder data environment.</t>
  </si>
  <si>
    <t>Use either video cameras or access control mechanisms (or both) to monitor individual physical access to sensitive areas. Review collected data and correlate with other entries. Store for at least three months, unless otherwise restricted by law. Note: “Sensitive areas” refers to any data center, server room or any area that houses systems that store, process, or transmit cardholder data. This excludes public-facing areas where only point-of-sale terminals are present, such as the cashier areas in a retail store.</t>
  </si>
  <si>
    <t>Implement physical and/or logical controls to restrict access to publicly accessible network jacks. For example, network jacks located in public areas and areas accessible to visitors could be disabled and only enabled when network access is explicitly authorized. Alternatively, processes could be implemented to ensure that visitors are escorted at all times in areas with active network jacks.</t>
  </si>
  <si>
    <t>9.1.3</t>
  </si>
  <si>
    <t>Restrict physical access to wireless access points, gateways, handheld devices, networking/communications hardware, and telecommunication lines.</t>
  </si>
  <si>
    <t>Develop procedures to easily distinguish between onsite personnel and visitors, to include: • Identifying onsite personnel and visitors (for example, assigning badges) • Changes to access requirements • Revoking or terminating onsite personnel and expired visitor identification (such as ID badges).</t>
  </si>
  <si>
    <t>Control physical access for onsite personnel to sensitive areas as follows: • Access must be authorized and based on individual job function. • Access is revoked immediately upon termination, and all physical access mechanisms, such as keys, access cards, etc., are returned or disabled.</t>
  </si>
  <si>
    <t>Implement procedures to identify and authorize visitors. Procedures should include the following:</t>
  </si>
  <si>
    <t>Visitors are authorized before entering, and escorted at all times within, areas where cardholder data is processed or maintained.</t>
  </si>
  <si>
    <t>Visitors are identified and given a badge or other identification that expires and that visibly distinguishes the visitors from onsite personnel.</t>
  </si>
  <si>
    <t>Visitors are asked to surrender the badge or identification before leaving the facility or at the date of expiration.</t>
  </si>
  <si>
    <t>A visitor log is used to maintain a physical audit trail of visitor activity to the facility as well as computer rooms and data centers where cardholder data is stored or transmitted. Document the visitor’s name, the firm represented, and the onsite personnel authorizing physical access on the log. Retain this log for a minimum of three months, unless otherwise restricted by law.</t>
  </si>
  <si>
    <t>Physically secure all media.</t>
  </si>
  <si>
    <t>9.5.1</t>
  </si>
  <si>
    <t>Store media backups in a secure location, preferably an off-site facility, such as an alternate or backup site, or a commercial storage facility. Review the location’s security at least annually.</t>
  </si>
  <si>
    <t>Maintain strict control over the internal or external distribution of any kind of media, including the following:</t>
  </si>
  <si>
    <t>9.6.1</t>
  </si>
  <si>
    <t>Classify media so the sensitivity of the data can be determined.</t>
  </si>
  <si>
    <t>9.6.2</t>
  </si>
  <si>
    <t>Send the media by secured courier or other delivery method that can be accurately tracked.</t>
  </si>
  <si>
    <t>9.6.3</t>
  </si>
  <si>
    <t>Ensure management approves any and all media that is moved from a secured area (including when media is distributed to individuals).</t>
  </si>
  <si>
    <t>Maintain strict control over the storage and accessibility of media.</t>
  </si>
  <si>
    <t>9.7.1</t>
  </si>
  <si>
    <t>Properly maintain inventory logs of all media and conduct media inventories at least annually.</t>
  </si>
  <si>
    <t>Destroy media when it is no longer needed for business or legal reasons as follows:</t>
  </si>
  <si>
    <t>9.8.1</t>
  </si>
  <si>
    <t>Shred, incinerate, or pulp hard-copy materials so that cardholder data cannot be reconstructed. Secure storage containers used for materials that are to be destroyed.</t>
  </si>
  <si>
    <t>9.8.2</t>
  </si>
  <si>
    <t>Render cardholder data on electronic media unrecoverable so that cardholder data cannot be reconstructed.</t>
  </si>
  <si>
    <t>Protect devices that capture payment card data via direct physical interaction with the card from tampering and substitution. Note: These requirements apply to card-reading devices used in card-present transactions (that is, card swipe or dip) at the point of sale. This requirement is not intended to apply to manual key-entry components such as computer keyboards and POS keypads.</t>
  </si>
  <si>
    <t>9.9.1</t>
  </si>
  <si>
    <t>Maintain an up-to-date list of devices. The list should include the following: • Make, model of device • Location of device (for example, the address of the site or facility where the device is located) • Device serial number or other method of unique identification.</t>
  </si>
  <si>
    <t>9.9.2</t>
  </si>
  <si>
    <t>Periodically inspect device surfaces to detect tampering (for example, addition of card skimmers to devices), or substitution (for example, by checking the serial number or other device characteristics to verify it has not been swapped with a fraudulent device). Note: Examples of signs that a device might have been tampered with or substituted include unexpected attachments or cables plugged into the device, missing or changed security labels, broken or differently colored casing, or changes to the serial number or other external markings.</t>
  </si>
  <si>
    <t>9.9.3</t>
  </si>
  <si>
    <t>Provide training for personnel to be aware of attempted tampering or replacement of devices. Training should include the following: • Verify the identity of any third-party persons claiming to be repair or maintenance personnel, prior to granting them access to modify or troubleshoot devices. • Do not install, replace, or return devices without verification. • Be aware of suspicious behavior around devices (for example, attempts by unknown persons to unplug or open devices). • Report suspicious behavior and indications of device tampering or substitution to appropriate personnel (for example, to a manager or security officer).</t>
  </si>
  <si>
    <t>9.10</t>
  </si>
  <si>
    <t>Ensure that security policies and operational procedures for restricting physical access to cardholder data are documented, in use, and known to all affected parties.</t>
  </si>
  <si>
    <t>10.x</t>
  </si>
  <si>
    <t>Track and monitor all access to network resources and cardholder data</t>
  </si>
  <si>
    <t>Implement audit trails to link all access to system components to each individual user.</t>
  </si>
  <si>
    <t>Implement automated audit trails for all system components to reconstruct the following events:</t>
  </si>
  <si>
    <t>10.2.1</t>
  </si>
  <si>
    <t>All individual user accesses to cardholder data</t>
  </si>
  <si>
    <t>10.2.2</t>
  </si>
  <si>
    <t>All actions taken by any individual with root or administrative privileges</t>
  </si>
  <si>
    <t>10.2.3</t>
  </si>
  <si>
    <t>Access to all audit trails</t>
  </si>
  <si>
    <t>10.2.4</t>
  </si>
  <si>
    <t>Invalid logical access attempts</t>
  </si>
  <si>
    <t>10.2.5</t>
  </si>
  <si>
    <t>Use of and changes to identification and authentication mechanisms—including but not limited to creation of new accounts and elevation of privileges—and all changes, additions, or deletions to accounts with root or administrative privileges</t>
  </si>
  <si>
    <t>10.2.6</t>
  </si>
  <si>
    <t>Initialization, stopping, or pausing of the audit logs</t>
  </si>
  <si>
    <t>10.2.7</t>
  </si>
  <si>
    <t>Creation and deletion of system-level objects</t>
  </si>
  <si>
    <t>Record at least the following audit trail entries for all system components for each event:</t>
  </si>
  <si>
    <t>10.3.1</t>
  </si>
  <si>
    <t>User identification</t>
  </si>
  <si>
    <t>10.3.2</t>
  </si>
  <si>
    <t>Type of event</t>
  </si>
  <si>
    <t>10.3.3</t>
  </si>
  <si>
    <t>Date and time</t>
  </si>
  <si>
    <t>10.3.4</t>
  </si>
  <si>
    <t>Success or failure indication</t>
  </si>
  <si>
    <t>10.3.5</t>
  </si>
  <si>
    <t>Origination of event</t>
  </si>
  <si>
    <t>10.3.6</t>
  </si>
  <si>
    <t>Identity or name of affected data, system component, or resource.</t>
  </si>
  <si>
    <t>Using time-synchronization technology, synchronize all critical system clocks and times and ensure that the following is implemented for acquiring, distributing, and storing time. Note: One example of time synchronization technology is Network Time Protocol (NTP).</t>
  </si>
  <si>
    <t>10.4.1</t>
  </si>
  <si>
    <t>Critical systems have the correct and consistent time.</t>
  </si>
  <si>
    <t>10.4.2</t>
  </si>
  <si>
    <t>Time data is protected.</t>
  </si>
  <si>
    <t>10.4.3</t>
  </si>
  <si>
    <t>Time settings are received from industry-accepted time sources.</t>
  </si>
  <si>
    <t>Secure audit trails so they cannot be altered.</t>
  </si>
  <si>
    <t>10.5.1</t>
  </si>
  <si>
    <t>Limit viewing of audit trails to those with a job-related need.</t>
  </si>
  <si>
    <t>10.5.2</t>
  </si>
  <si>
    <t>Protect audit trail files from unauthorized modifications.</t>
  </si>
  <si>
    <t>10.5.3</t>
  </si>
  <si>
    <t>Promptly back up audit trail files to a centralized log server or media that is difficult to alter.</t>
  </si>
  <si>
    <t>10.5.4</t>
  </si>
  <si>
    <t>Write logs for external-facing technologies onto a secure, centralized, internal log server or media device.</t>
  </si>
  <si>
    <t>10.5.5</t>
  </si>
  <si>
    <t>Use file-integrity monitoring or change-detection software on logs to ensure that existing log data cannot be changed without generating alerts (although new data being added should not cause an alert).</t>
  </si>
  <si>
    <t>Review logs and security events for all system components to identify anomalies or suspicious activity. Note: Log harvesting, parsing, and alerting tools may be used to meet this Requirement.</t>
  </si>
  <si>
    <t>10.6.1</t>
  </si>
  <si>
    <t>Review the following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</si>
  <si>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10.6.2</t>
  </si>
  <si>
    <t>Review logs of all other system components periodically based on the organization’s policies and risk management strategy, as determined by the organization’s annual risk assessment.</t>
  </si>
  <si>
    <t>10.6.3</t>
  </si>
  <si>
    <t>Follow up exceptions and anomalies identified during the review process.</t>
  </si>
  <si>
    <t>Retain audit trail history for at least one year, with a minimum of three months immediately available for analysis (for example, online, archived, or restorable from backup).</t>
  </si>
  <si>
    <t>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Note: This requirement is a best practice until January 31, 2018, after which it becomes a requirement.</t>
  </si>
  <si>
    <t>10.8.1</t>
  </si>
  <si>
    <t>Additional requirement for service providers only: Respond to failures of any critical security controls in a timely manner. Processes for responding to failures in security controls must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 Note: This requirement is a best practice until January 31, 2018, after which it becomes a requirement.</t>
  </si>
  <si>
    <t>Ensure that security policies and operational procedures for monitoring all access to network resources and cardholder data are documented, in use, and known to all affected parties.</t>
  </si>
  <si>
    <t>11.x</t>
  </si>
  <si>
    <t>Regularly test security systems and processes</t>
  </si>
  <si>
    <t>Implement processes to test for the presence of wireless access points (802.11), and detect and identify all authorized and unauthorized wireless access points on a quarterly basis. Note: Methods that may be used in the process include but are not limited to wireless network scans, physical/logical inspections of system components and infrastructure, network access control (NAC), or wireless IDS/IPS. Whichever methods are used, they must be sufficient to detect and identify both authorized and unauthorized devices.</t>
  </si>
  <si>
    <t>Maintain an inventory of authorized wireless access points including a documented business justification.</t>
  </si>
  <si>
    <t>Implement incident response procedures in the event unauthorized wireless access points are detected.</t>
  </si>
  <si>
    <t>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t>
  </si>
  <si>
    <t>Perform quarterly internal vulnerability scans. Address vulnerabilities and perform rescans to verify all “high risk” vulnerabilities are resolved in accordance with the entity’s vulnerability ranking (per Requirement 6.1). Scans must be performed by qualified personnel.</t>
  </si>
  <si>
    <t>Perform quarterly external vulnerability scans, via an Approved Scanning Vendor (ASV) approved by the Payment Card Industry Security Standards Council (PCI SSC). Perform rescans as needed, until passing scans are achieved. Note: Quarterly external vulnerability scans must be performed by an Approved Scanning Vendor (ASV), approved by the Payment Card Industry Security Standards Council (PCI SSC). Refer to the ASV Program Guide published on the PCI SSC website for scan customer responsibilities, scan preparation, etc.</t>
  </si>
  <si>
    <t>Perform internal and external scans, and rescans as needed, after any significant change. Scans must be performed by qualified personnel.</t>
  </si>
  <si>
    <t>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</si>
  <si>
    <t>11.3.1</t>
  </si>
  <si>
    <t>Perform external penetration testing at least annually and after any significant infrastructure or application upgrade or modification (such as an operating system upgrade, a sub-network added to the environment, or a web server added to the environment).</t>
  </si>
  <si>
    <t>11.3.2</t>
  </si>
  <si>
    <t>Perform internal penetration testing at least annually and after any significant infrastructure or application upgrade or modification (such as an operating system upgrade, a sub-network added to the environment, or a web server added to the environment).</t>
  </si>
  <si>
    <t>11.3.3</t>
  </si>
  <si>
    <t>Exploitable vulnerabilities found during penetration testing are corrected and testing is repeated to verify the corrections.</t>
  </si>
  <si>
    <t>11.3.4</t>
  </si>
  <si>
    <t>If segmentation is used to isolate the CDE from other networks, perform penetration tests at least annually and after any changes to segmentation controls/methods to verify that the segmentation methods are operational and effective, and isolate all out-of-scope systems from systems in the CDE.</t>
  </si>
  <si>
    <t>11.3.4.1</t>
  </si>
  <si>
    <t>Additional requirement for service providers only: If segmentation is used, confirm PCI DSS scope by performing penetration testing on segmentation controls at least every six months and after any changes to segmentation controls/methods. Note: This requirement is a best practice until January 31, 2018, after which it becomes a requirement.</t>
  </si>
  <si>
    <t>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</si>
  <si>
    <t>Deploy a change-detection mechanism (for example, file-integrity monitoring tools) to alert personnel to unauthorized modification (including changes, additions, and deletions) of critical system files, configuration files, or content files; and configure the software to perform critical file comparisons at least weekly. Note: For change-detection purposes, critical files are usually those that do not regularly change, but the modification of which could indicate a system compromise or risk of compromise. Change-detection mechanisms such as file-integrity monitoring products usually come pre-configured with critical files for the related operating system. Other critical files, such as those for custom applications, must be evaluated and defined by the entity (that is, the merchant or service provider).</t>
  </si>
  <si>
    <t>11.5.1</t>
  </si>
  <si>
    <t>Implement a process to respond to any alerts generated by the change-detection solution.</t>
  </si>
  <si>
    <t>Ensure that security policies and operational procedures for security monitoring and testing are documented, in use, and known to all affected parties.</t>
  </si>
  <si>
    <t>Maintain a policy that addresses information security for all personnel</t>
  </si>
  <si>
    <t>Establish, publish, maintain, and disseminate a security policy.</t>
  </si>
  <si>
    <t>Review the security policy at least annually and update the policy when the environment changes.</t>
  </si>
  <si>
    <t>Implement a risk-assessment process that: • Is performed at least annually and upon significant changes to the environment (for example, acquisition, merger, relocation, etc.), • Identifies critical assets, threats, and vulnerabilities, and • Results in a formal, documented analysis of risk. Examples of risk-assessment methodologies include but are not limited to OCTAVE, ISO 27005 and NIST SP 800-30.</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</si>
  <si>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t>
  </si>
  <si>
    <t>Explicit approval by authorized parties</t>
  </si>
  <si>
    <t>12.3.2</t>
  </si>
  <si>
    <t>Authentication for use of the technology</t>
  </si>
  <si>
    <t>12.3.3</t>
  </si>
  <si>
    <t>A list of all such devices and personnel with access</t>
  </si>
  <si>
    <t>12.3.4</t>
  </si>
  <si>
    <t>A method to accurately and readily determine owner, contact information, and purpose (for example, labeling, coding, and/or inventorying of devices)</t>
  </si>
  <si>
    <t>12.3.5</t>
  </si>
  <si>
    <t>Acceptable uses of the technology</t>
  </si>
  <si>
    <t>12.3.6</t>
  </si>
  <si>
    <t>Acceptable network locations for the technologies</t>
  </si>
  <si>
    <t>12.3.7</t>
  </si>
  <si>
    <t>List of company-approved products</t>
  </si>
  <si>
    <t>12.3.8</t>
  </si>
  <si>
    <t>Automatic disconnect of sessions for remote-access technologies after a specific period of inactivity</t>
  </si>
  <si>
    <t>12.3.9</t>
  </si>
  <si>
    <t>Activation of remote-access technologies for vendors and business partners only when needed by vendors and business partners, with immediate deactivation after use</t>
  </si>
  <si>
    <t>12.3.10</t>
  </si>
  <si>
    <t>For personnel accessing cardholder data via remote-access technologies, prohibit the copying, moving, and storage of cardholder data onto local hard drives and removable electronic media, unless explicitly authorized for a defined business need. Where there is an authorized business need, the usage policies must require the data be protected in accordance with all applicable PCI DSS Requirements.</t>
  </si>
  <si>
    <t>Ensure that the security policy and procedures clearly define information security responsibilities for all personnel.</t>
  </si>
  <si>
    <t>Additional requirement for service providers only: Executive management shall establish responsibility for the protection of cardholder data and a PCI DSS compliance program to include: • Overall accountability for maintaining PCI DSS compliance • Defining a charter for a PCI DSS compliance program and communication to executive management Note: This requirement is a best practice until January 31, 2018, after which it becomes a requirement.</t>
  </si>
  <si>
    <t>Assign to an individual or team the following information security management responsibilities:</t>
  </si>
  <si>
    <t>Establish, document, and distribute security policies and procedures.</t>
  </si>
  <si>
    <t>12.5.2</t>
  </si>
  <si>
    <t>Monitor and analyze security alerts and information, and distribute to appropriate personnel.</t>
  </si>
  <si>
    <t>12.5.3</t>
  </si>
  <si>
    <t>Establish, document, and distribute security incident response and escalation procedures to ensure timely and effective handling of all situations.</t>
  </si>
  <si>
    <t>12.5.4</t>
  </si>
  <si>
    <t>Administer user accounts, including additions, deletions, and modifications.</t>
  </si>
  <si>
    <t>12.5.5</t>
  </si>
  <si>
    <t>Monitor and control all access to data.</t>
  </si>
  <si>
    <t>Implement a formal security awareness program to make all personnel aware of the cardholder data security policy and procedures.</t>
  </si>
  <si>
    <t>Educate personnel upon hire and at least annually. Note: Methods can vary depending on the role of the personnel and their level of access to the cardholder data.</t>
  </si>
  <si>
    <t>Require personnel to acknowledge at least annually that they have read and understood the security policy and procedures.</t>
  </si>
  <si>
    <t>Screen potential personnel prior to hire to minimize the risk of attacks from internal sources. (Examples of background checks include previous employment history, criminal record, credit history, and reference checks.) Note: For those potential personnel to be hired for certain positions such as store cashiers who only have access to one card number at a time when facilitating a transaction, this requirement is a recommendation only.</t>
  </si>
  <si>
    <t>Maintain and implement policies and procedures to manage service providers, with whom cardholder data is shared, or that could affect the security of cardholder data, as follows</t>
  </si>
  <si>
    <t>12.8.1</t>
  </si>
  <si>
    <t>Maintain a list of service providers including a description of the service provided.</t>
  </si>
  <si>
    <t>12.8.2</t>
  </si>
  <si>
    <t>Maintain a written agreement that includes an acknowledgement that the service providers are responsible for the security of cardholder data the service providers possess or otherwise store, process or transmit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</si>
  <si>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12.8.3</t>
  </si>
  <si>
    <t>Ensure there is an established process for engaging service providers including proper due diligence prior to engagement.</t>
  </si>
  <si>
    <t>12.8.4</t>
  </si>
  <si>
    <t>Maintain a program to monitor service providers’ PCI DSS compliance status at least annually.</t>
  </si>
  <si>
    <t>12.8.5</t>
  </si>
  <si>
    <t>Maintain information about which PCI DSS requirements are managed by each service provider, and which are managed by the entity.</t>
  </si>
  <si>
    <t>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</si>
  <si>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12.10</t>
  </si>
  <si>
    <t>Implement an incident response plan. Be prepared to respond immediately to a system breach.</t>
  </si>
  <si>
    <t>12.10.1</t>
  </si>
  <si>
    <t>Create the incident response plan to be implemented in the event of system breach. Ensure the plan addresses the following, at a minimum: • Roles, responsibilities, and communication and contact strategies in the event of a compromise including notification of the payment brands, at a minimum • Specific incident response procedures • Business recovery and continuity procedures • Data backup processes • Analysis of legal requirements for reporting compromises • Coverage and responses of all critical system components • Reference or inclusion of incident response procedures from the payment brands.</t>
  </si>
  <si>
    <t>12.10.2</t>
  </si>
  <si>
    <t>Review and test the plan, including all elements listed in Requirement 12.10.1, at least annually.</t>
  </si>
  <si>
    <t>12.10.3</t>
  </si>
  <si>
    <t>Designate specific personnel to be available on a 24/7 basis to respond to alerts.</t>
  </si>
  <si>
    <t>12.10.4</t>
  </si>
  <si>
    <t>Provide appropriate training to staff with security breach response responsibilities.</t>
  </si>
  <si>
    <t>12.10.5</t>
  </si>
  <si>
    <t>Include alerts from security monitoring systems, including but not limited to intrusion-detection, intrusion-prevention, firewalls, and file-integrity monitoring systems.</t>
  </si>
  <si>
    <t>12.10.6</t>
  </si>
  <si>
    <t>Develop a process to modify and evolve the incident response plan according to lessons learned and to incorporate industry developments.</t>
  </si>
  <si>
    <t>Additional requirement for service providers only: Perform reviews at least quarterly to confirm personnel are following security policies and operational procedures. Reviews must cover the following processes: • Daily log reviews • Firewall rule-set reviews • Applying configuration standards to new systems • Responding to security alerts • Change management processes Note: This requirement is a best practice until January 31, 2018, after which it becomes a requirement.</t>
  </si>
  <si>
    <t>12.11.1</t>
  </si>
  <si>
    <t>Additional requirement for service providers only: Maintain documentation of quarterly review process to include: • Documenting results of the reviews • Review and sign off of results by personnel assigned responsibility for the PCI DSS compliance program Note: This requirement is a best practice until January 31, 2018, after which it becomes a requirement.</t>
  </si>
  <si>
    <t>All system components included in or connected to the cardholder data environment (CDE)</t>
  </si>
  <si>
    <t>The process of determining the CDE and subsequent PCI scope</t>
  </si>
  <si>
    <t>Scope</t>
  </si>
  <si>
    <t>12.7, 4.2</t>
  </si>
  <si>
    <t>8.x, 4.2</t>
  </si>
  <si>
    <t>7.x, 8.x, 9.x</t>
  </si>
  <si>
    <t>12.1, 5.4</t>
  </si>
  <si>
    <t>Order</t>
  </si>
  <si>
    <t>Additional Info</t>
  </si>
  <si>
    <t>High Risk</t>
  </si>
  <si>
    <t>Category</t>
  </si>
  <si>
    <t>C_Answer</t>
  </si>
  <si>
    <t>Required</t>
  </si>
  <si>
    <t>V_Answer</t>
  </si>
  <si>
    <t>Compliant</t>
  </si>
  <si>
    <t>Weight</t>
  </si>
  <si>
    <t>CIS</t>
  </si>
  <si>
    <t>ISO 27002:27013</t>
  </si>
  <si>
    <t>Category_Total</t>
  </si>
  <si>
    <t>Category_divisor</t>
  </si>
  <si>
    <t>Application Security</t>
  </si>
  <si>
    <t>Authentication, Authorization, and Accounting</t>
  </si>
  <si>
    <t>Change Management</t>
  </si>
  <si>
    <t>Company</t>
  </si>
  <si>
    <t>Data</t>
  </si>
  <si>
    <t>Database</t>
  </si>
  <si>
    <t>Datacenter</t>
  </si>
  <si>
    <t>Firewalls, IDS, IPS, and Networking</t>
  </si>
  <si>
    <t>Physical Security</t>
  </si>
  <si>
    <t>Policies, Procedures, and Processes</t>
  </si>
  <si>
    <t>Systems Management &amp; Configuration</t>
  </si>
  <si>
    <t>Vulnerability Scanning</t>
  </si>
  <si>
    <t>Third-Parties</t>
  </si>
  <si>
    <t>Consulting</t>
  </si>
  <si>
    <t>Ave Percent</t>
  </si>
  <si>
    <t>Total Points</t>
  </si>
  <si>
    <t>Application/Service Security</t>
  </si>
  <si>
    <t>Business Continuity Plan</t>
  </si>
  <si>
    <t>Disaster Recovery Plan</t>
  </si>
  <si>
    <t>Mobile Applications</t>
  </si>
  <si>
    <t>Product Evaluation</t>
  </si>
  <si>
    <t>Quality Assurance</t>
  </si>
  <si>
    <t>TRUE</t>
  </si>
  <si>
    <t>Row Labels</t>
  </si>
  <si>
    <t>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t>
  </si>
  <si>
    <t>Does your organization ensure through policy and procedure (that is currently implemented) that only application software verifiable as authorized, tested, and approved for production, and having met all other requirements and reviews necessary for commissioning, is placed into production?</t>
  </si>
  <si>
    <t>Are your applications scanned externally for vulnerabilities?</t>
  </si>
  <si>
    <t>Are your systems scanned externally for vulnerabilities?</t>
  </si>
  <si>
    <t>Higher Education Community Vendor Assessment Toolkit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</si>
  <si>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</si>
  <si>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</si>
  <si>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</si>
  <si>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</si>
  <si>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</si>
  <si>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</si>
  <si>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</si>
  <si>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</si>
  <si>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</si>
  <si>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</si>
  <si>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</si>
  <si>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</si>
  <si>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</si>
  <si>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</si>
  <si>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</si>
  <si>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</si>
  <si>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</si>
  <si>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</si>
  <si>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</si>
  <si>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</si>
  <si>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</si>
  <si>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</si>
  <si>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</si>
  <si>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</si>
  <si>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</si>
  <si>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</si>
  <si>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</si>
  <si>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</si>
  <si>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</si>
  <si>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</si>
  <si>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</si>
  <si>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</si>
  <si>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</si>
  <si>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</si>
  <si>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v1.04</t>
  </si>
  <si>
    <t>Minor layout change in preparation for HECVAT-Lite split</t>
  </si>
  <si>
    <t>v1.05</t>
  </si>
  <si>
    <t>Changed University mentions to Institution; final version before SPC 2017</t>
  </si>
  <si>
    <t>v1.06</t>
  </si>
  <si>
    <t>Added standards crosswalk and Cloud Broker Index (CBI) information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</si>
  <si>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</si>
  <si>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</si>
  <si>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</si>
  <si>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</si>
  <si>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</si>
  <si>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</si>
  <si>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</si>
  <si>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</si>
  <si>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</si>
  <si>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Repaired versioning issues</t>
  </si>
  <si>
    <t>v2.10</t>
  </si>
  <si>
    <t>Updated name, converted question text on Standards Crosswalk tab to vlookups, added Analyst Reference, fixed external links</t>
  </si>
  <si>
    <t>v2.11</t>
  </si>
  <si>
    <t>Updated SSAE 16 to 18.  Fixed reference to Standards crosswalk on Summary Report.</t>
  </si>
  <si>
    <t>Campus</t>
  </si>
  <si>
    <t>Answers</t>
  </si>
  <si>
    <t>N/A</t>
  </si>
  <si>
    <t>DRPTestingSchedule</t>
  </si>
  <si>
    <t>Quarterly</t>
  </si>
  <si>
    <t>Semi-annually</t>
  </si>
  <si>
    <t>Annually</t>
  </si>
  <si>
    <t>Other</t>
  </si>
  <si>
    <t>NetworkTypes</t>
  </si>
  <si>
    <t>Shared VLAN</t>
  </si>
  <si>
    <t>Physically Separate</t>
  </si>
  <si>
    <t>Flat Shared Network</t>
  </si>
  <si>
    <t>DR Types</t>
  </si>
  <si>
    <t>Cold</t>
  </si>
  <si>
    <t>Hot</t>
  </si>
  <si>
    <t>SharedAssessmentsConfirmation</t>
  </si>
  <si>
    <t>Yes; OK to Share</t>
  </si>
  <si>
    <t>No; Sharing Disallowed</t>
  </si>
  <si>
    <t>SharedAssessmentListingConfirmation</t>
  </si>
  <si>
    <t>Yes; OK to List</t>
  </si>
  <si>
    <t>No; Listing Disallowed</t>
  </si>
  <si>
    <t>UptimeTiers</t>
  </si>
  <si>
    <t>Tier I</t>
  </si>
  <si>
    <t>Tier II</t>
  </si>
  <si>
    <t>Tier III</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</si>
</sst>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dd/yyyy"/>
    <numFmt numFmtId="165" formatCode="m/d/yyyy"/>
    <numFmt numFmtId="166" formatCode="0;&quot; &quot;;&quot; &quot;"/>
  </numFmts>
  <fonts count="48">
    <font>
      <sz val="12.0"/>
      <color rgb="FF000000"/>
      <name val="Helvetica Neue"/>
      <scheme val="minor"/>
    </font>
    <font>
      <sz val="10.0"/>
      <color rgb="FF000000"/>
      <name val="Arial"/>
    </font>
    <font/>
    <font>
      <sz val="12.0"/>
      <color rgb="FF000000"/>
      <name val="Verdana"/>
    </font>
    <font>
      <b/>
      <sz val="14.0"/>
      <color rgb="FF000000"/>
      <name val="Verdana"/>
    </font>
    <font>
      <b/>
      <sz val="20.0"/>
      <color rgb="FFFFFFFF"/>
      <name val="Verdana"/>
    </font>
    <font>
      <sz val="11.0"/>
      <color rgb="FF000000"/>
      <name val="Verdana"/>
    </font>
    <font>
      <b/>
      <sz val="12.0"/>
      <color rgb="FFFFFFFF"/>
      <name val="Verdana"/>
    </font>
    <font>
      <b/>
      <sz val="11.0"/>
      <color rgb="FF000000"/>
      <name val="Verdana"/>
    </font>
    <font>
      <b/>
      <sz val="11.0"/>
      <color rgb="FFC00000"/>
      <name val="Verdana"/>
    </font>
    <font>
      <b/>
      <sz val="16.0"/>
      <color rgb="FFFFFFFF"/>
      <name val="Verdana"/>
    </font>
    <font>
      <b/>
      <sz val="12.0"/>
      <color rgb="FF000000"/>
      <name val="Verdana"/>
    </font>
    <font>
      <i/>
      <sz val="12.0"/>
      <color rgb="FF000000"/>
      <name val="Verdana"/>
    </font>
    <font>
      <b/>
      <sz val="14.0"/>
      <color rgb="FFFFFFFF"/>
      <name val="Verdana"/>
    </font>
    <font>
      <b/>
      <sz val="14.0"/>
      <color rgb="FFFF0000"/>
      <name val="Verdana"/>
    </font>
    <font>
      <sz val="12.0"/>
      <color rgb="FFFFFFFF"/>
      <name val="Verdana"/>
    </font>
    <font>
      <i/>
      <sz val="11.0"/>
      <color rgb="FF000000"/>
      <name val="Verdana"/>
    </font>
    <font>
      <i/>
      <u/>
      <sz val="11.0"/>
      <color rgb="FF000000"/>
      <name val="Verdana"/>
    </font>
    <font>
      <b/>
      <sz val="14.0"/>
      <color rgb="FFBFBFBF"/>
      <name val="Verdana"/>
    </font>
    <font>
      <b/>
      <sz val="11.0"/>
      <color rgb="FFFF0000"/>
      <name val="Verdana"/>
    </font>
    <font>
      <sz val="11.0"/>
      <color rgb="FFFF0000"/>
      <name val="Verdana"/>
    </font>
    <font>
      <u/>
      <sz val="11.0"/>
      <color rgb="FF000000"/>
      <name val="Verdana"/>
    </font>
    <font>
      <u/>
      <sz val="11.0"/>
      <color rgb="FF1155CC"/>
      <name val="Verdana"/>
    </font>
    <font>
      <u/>
      <sz val="11.0"/>
      <color rgb="FF000000"/>
      <name val="Verdana"/>
    </font>
    <font>
      <sz val="12.0"/>
      <color theme="1"/>
      <name val="Verdana"/>
    </font>
    <font>
      <u/>
      <sz val="11.0"/>
      <color rgb="FF000000"/>
      <name val="Verdana"/>
    </font>
    <font>
      <u/>
      <sz val="11.0"/>
      <color rgb="FF000000"/>
      <name val="Verdana"/>
    </font>
    <font>
      <u/>
      <sz val="11.0"/>
      <color rgb="FF000000"/>
      <name val="Verdana"/>
    </font>
    <font>
      <u/>
      <sz val="11.0"/>
      <color rgb="FF000000"/>
      <name val="Verdana"/>
    </font>
    <font>
      <u/>
      <sz val="12.0"/>
      <color rgb="FF1155CC"/>
      <name val="Verdana"/>
    </font>
    <font>
      <u/>
      <sz val="12.0"/>
      <color rgb="FF000000"/>
      <name val="Verdana"/>
    </font>
    <font>
      <u/>
      <sz val="9.0"/>
      <color rgb="FF0000FF"/>
      <name val="Verdana"/>
    </font>
    <font>
      <u/>
      <sz val="12.0"/>
      <color rgb="FF000000"/>
      <name val="Verdana"/>
    </font>
    <font>
      <sz val="11.0"/>
      <color rgb="FFFFFFFF"/>
      <name val="Verdana"/>
    </font>
    <font>
      <u/>
      <sz val="11.0"/>
      <color rgb="FF000000"/>
      <name val="Verdana"/>
    </font>
    <font>
      <sz val="12.0"/>
      <color rgb="FFFF0000"/>
      <name val="Verdana"/>
    </font>
    <font>
      <u/>
      <sz val="12.0"/>
      <color rgb="FF000000"/>
      <name val="Verdana"/>
    </font>
    <font>
      <b/>
      <sz val="16.0"/>
      <color rgb="FF000000"/>
      <name val="Verdana"/>
    </font>
    <font>
      <sz val="12.0"/>
      <color rgb="FF000000"/>
      <name val="Helvetica Neue"/>
    </font>
    <font>
      <sz val="10.0"/>
      <color rgb="FF000000"/>
      <name val="Helvetica Neue"/>
    </font>
    <font>
      <sz val="10.0"/>
      <color rgb="FF231F20"/>
      <name val="Helvetica Neue"/>
    </font>
    <font>
      <sz val="11.0"/>
      <color rgb="FF000000"/>
      <name val="Arial"/>
    </font>
    <font>
      <u/>
      <sz val="12.0"/>
      <color rgb="FF000000"/>
      <name val="Verdana"/>
    </font>
    <font>
      <u/>
      <sz val="12.0"/>
      <color rgb="FF000000"/>
      <name val="Verdana"/>
    </font>
    <font>
      <u/>
      <sz val="12.0"/>
      <color rgb="FF000000"/>
      <name val="Verdana"/>
    </font>
    <font>
      <u/>
      <sz val="12.0"/>
      <color rgb="FF000000"/>
      <name val="Verdana"/>
    </font>
    <font>
      <sz val="9.0"/>
      <color rgb="FF000000"/>
      <name val="Verdana"/>
    </font>
    <font>
      <b/>
      <sz val="9.0"/>
      <color rgb="FF000000"/>
      <name val="Verdana"/>
    </font>
  </fonts>
  <fills count="16">
    <fill>
      <patternFill patternType="none"/>
    </fill>
    <fill>
      <patternFill patternType="lightGray"/>
    </fill>
    <fill>
      <patternFill patternType="solid">
        <fgColor rgb="FFFFFFFF"/>
        <bgColor rgb="FFFFFFFF"/>
      </patternFill>
    </fill>
    <fill>
      <patternFill patternType="solid">
        <fgColor rgb="FFFBE4D5"/>
        <bgColor rgb="FFFBE4D5"/>
      </patternFill>
    </fill>
    <fill>
      <patternFill patternType="solid">
        <fgColor rgb="FF000000"/>
        <bgColor rgb="FF000000"/>
      </patternFill>
    </fill>
    <fill>
      <patternFill patternType="solid">
        <fgColor rgb="FFF2F2F2"/>
        <bgColor rgb="FFF2F2F2"/>
      </patternFill>
    </fill>
    <fill>
      <patternFill patternType="solid">
        <fgColor rgb="FFC00000"/>
        <bgColor rgb="FFC00000"/>
      </patternFill>
    </fill>
    <fill>
      <patternFill patternType="solid">
        <fgColor rgb="FFD8D8D8"/>
        <bgColor rgb="FFD8D8D8"/>
      </patternFill>
    </fill>
    <fill>
      <patternFill patternType="solid">
        <fgColor rgb="FF3F3F3F"/>
        <bgColor rgb="FF3F3F3F"/>
      </patternFill>
    </fill>
    <fill>
      <patternFill patternType="solid">
        <fgColor rgb="FFFAF9F9"/>
        <bgColor rgb="FFFAF9F9"/>
      </patternFill>
    </fill>
    <fill>
      <patternFill patternType="solid">
        <fgColor rgb="FF7030A0"/>
        <bgColor rgb="FF7030A0"/>
      </patternFill>
    </fill>
    <fill>
      <patternFill patternType="solid">
        <fgColor rgb="FF00B050"/>
        <bgColor rgb="FF00B050"/>
      </patternFill>
    </fill>
    <fill>
      <patternFill patternType="solid">
        <fgColor rgb="FFF3F1FF"/>
        <bgColor rgb="FFF3F1FF"/>
      </patternFill>
    </fill>
    <fill>
      <patternFill patternType="solid">
        <fgColor rgb="FF0070C0"/>
        <bgColor rgb="FF0070C0"/>
      </patternFill>
    </fill>
    <fill>
      <patternFill patternType="solid">
        <fgColor rgb="FFF3F4F4"/>
        <bgColor rgb="FFF3F4F4"/>
      </patternFill>
    </fill>
    <fill>
      <patternFill patternType="solid">
        <fgColor rgb="FF7F7F7F"/>
        <bgColor rgb="FF7F7F7F"/>
      </patternFill>
    </fill>
  </fills>
  <borders count="104">
    <border/>
    <border>
      <left style="thin">
        <color rgb="FF000000"/>
      </left>
      <top style="thin">
        <color rgb="FF000000"/>
      </top>
      <bottom/>
    </border>
    <border>
      <right style="thin">
        <color rgb="FF000000"/>
      </right>
      <top style="thin">
        <color rgb="FF000000"/>
      </top>
      <bottom/>
    </border>
    <border>
      <left style="thin">
        <color rgb="FF000000"/>
      </left>
      <right/>
      <top style="thin">
        <color rgb="FFAAAAAA"/>
      </top>
      <bottom/>
    </border>
    <border>
      <left/>
      <right/>
      <top style="thin">
        <color rgb="FFAAAAAA"/>
      </top>
      <bottom/>
    </border>
    <border>
      <left/>
      <right style="thin">
        <color rgb="FFAAAAAA"/>
      </right>
      <top style="thin">
        <color rgb="FFAAAAAA"/>
      </top>
      <bottom/>
    </border>
    <border>
      <left style="thin">
        <color rgb="FF000000"/>
      </left>
      <right/>
      <top/>
      <bottom/>
    </border>
    <border>
      <left/>
      <right style="thin">
        <color rgb="FF000000"/>
      </right>
      <top/>
      <bottom/>
    </border>
    <border>
      <left/>
      <right/>
      <top/>
      <bottom/>
    </border>
    <border>
      <left/>
      <right style="thin">
        <color rgb="FFAAAAAA"/>
      </right>
      <top/>
      <bottom/>
    </border>
    <border>
      <left style="thin">
        <color rgb="FF000000"/>
      </left>
      <right/>
      <top/>
      <bottom style="thin">
        <color rgb="FF000000"/>
      </bottom>
    </border>
    <border>
      <left/>
      <right style="thin">
        <color rgb="FF000000"/>
      </right>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top/>
      <bottom style="thin">
        <color rgb="FFAAAAAA"/>
      </bottom>
    </border>
    <border>
      <left/>
      <right/>
      <top/>
      <bottom style="thin">
        <color rgb="FFAAAAAA"/>
      </bottom>
    </border>
    <border>
      <left/>
      <right style="thin">
        <color rgb="FFAAAAAA"/>
      </right>
      <top/>
      <bottom style="thin">
        <color rgb="FFAAAAAA"/>
      </bottom>
    </border>
    <border>
      <left style="thin">
        <color rgb="FF000000"/>
      </left>
      <right style="thin">
        <color rgb="FFAAAAAA"/>
      </right>
      <top style="thin">
        <color rgb="FFAAAAAA"/>
      </top>
      <bottom style="thin">
        <color rgb="FFAAAAAA"/>
      </bottom>
    </border>
    <border>
      <left style="thin">
        <color rgb="FFAAAAAA"/>
      </left>
      <right style="thin">
        <color rgb="FFAAAAAA"/>
      </right>
      <top style="thin">
        <color rgb="FFAAAAAA"/>
      </top>
      <bottom style="thin">
        <color rgb="FFAAAAAA"/>
      </bottom>
    </border>
    <border>
      <left style="thin">
        <color rgb="FF000000"/>
      </left>
      <right style="thin">
        <color rgb="FF000000"/>
      </right>
      <top style="thin">
        <color rgb="FF000000"/>
      </top>
      <bottom style="thin">
        <color rgb="FF000000"/>
      </bottom>
    </border>
    <border>
      <left style="thin">
        <color rgb="FFAAAAAA"/>
      </left>
      <top style="thin">
        <color rgb="FF000000"/>
      </top>
      <bottom style="thin">
        <color rgb="FF000000"/>
      </bottom>
    </border>
    <border>
      <right style="thin">
        <color rgb="FFAAAAAA"/>
      </right>
      <top style="thin">
        <color rgb="FF000000"/>
      </top>
      <bottom style="thin">
        <color rgb="FF000000"/>
      </bottom>
    </border>
    <border>
      <left style="thin">
        <color rgb="FFAAAAAA"/>
      </left>
      <right style="thin">
        <color rgb="FFAAAAAA"/>
      </right>
      <top style="thin">
        <color rgb="FF000000"/>
      </top>
      <bottom style="thin">
        <color rgb="FFAAAAAA"/>
      </bottom>
    </border>
    <border>
      <top style="thin">
        <color rgb="FF000000"/>
      </top>
      <bottom style="thin">
        <color rgb="FF000000"/>
      </bottom>
    </border>
    <border>
      <left style="thin">
        <color rgb="FFAAAAAA"/>
      </left>
      <top style="thin">
        <color rgb="FF000000"/>
      </top>
    </border>
    <border>
      <left/>
      <right/>
      <top style="thin">
        <color rgb="FF000000"/>
      </top>
      <bottom/>
    </border>
    <border>
      <left style="thin">
        <color rgb="FFAAAAAA"/>
      </left>
      <bottom style="thin">
        <color rgb="FF000000"/>
      </bottom>
    </border>
    <border>
      <left/>
      <right/>
      <top/>
      <bottom style="thin">
        <color rgb="FF000000"/>
      </bottom>
    </border>
    <border>
      <right/>
      <top style="thin">
        <color rgb="FF000000"/>
      </top>
      <bottom style="thin">
        <color rgb="FF000000"/>
      </bottom>
    </border>
    <border>
      <left/>
      <right style="thin">
        <color rgb="FF000000"/>
      </right>
      <top style="thin">
        <color rgb="FF000000"/>
      </top>
      <bottom style="thin">
        <color rgb="FF000000"/>
      </bottom>
    </border>
    <border>
      <top style="thin">
        <color rgb="FF000000"/>
      </top>
      <bottom/>
    </border>
    <border>
      <right style="thin">
        <color rgb="FFAAAAAA"/>
      </right>
      <top style="thin">
        <color rgb="FF000000"/>
      </top>
      <bottom/>
    </border>
    <border>
      <left style="thin">
        <color rgb="FF000000"/>
      </left>
      <top/>
      <bottom style="thin">
        <color rgb="FF000000"/>
      </bottom>
    </border>
    <border>
      <top/>
      <bottom style="thin">
        <color rgb="FF000000"/>
      </bottom>
    </border>
    <border>
      <right style="thin">
        <color rgb="FFAAAAAA"/>
      </right>
      <top/>
      <bottom style="thin">
        <color rgb="FF000000"/>
      </bottom>
    </border>
    <border>
      <left style="thin">
        <color rgb="FF000000"/>
      </left>
      <right style="thin">
        <color rgb="FF000000"/>
      </right>
      <top style="thin">
        <color rgb="FF000000"/>
      </top>
      <bottom style="thin">
        <color rgb="FFAAAAAA"/>
      </bottom>
    </border>
    <border>
      <left style="thin">
        <color rgb="FF000000"/>
      </left>
      <right style="thin">
        <color rgb="FF000000"/>
      </right>
      <top style="thin">
        <color rgb="FFAAAAAA"/>
      </top>
      <bottom style="thin">
        <color rgb="FFAAAAAA"/>
      </bottom>
    </border>
    <border>
      <left style="thin">
        <color rgb="FF000000"/>
      </left>
      <right style="thin">
        <color rgb="FF000000"/>
      </right>
      <top style="thin">
        <color rgb="FFAAAAAA"/>
      </top>
      <bottom style="thin">
        <color rgb="FF000000"/>
      </bottom>
    </border>
    <border>
      <left style="thin">
        <color rgb="FF000000"/>
      </left>
      <right style="thin">
        <color rgb="FFAAAAAA"/>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AAAAAA"/>
      </left>
      <right style="thin">
        <color rgb="FF000000"/>
      </right>
      <top style="thin">
        <color rgb="FF000000"/>
      </top>
      <bottom style="thin">
        <color rgb="FF000000"/>
      </bottom>
    </border>
    <border>
      <left style="thin">
        <color rgb="FFAAAAAA"/>
      </left>
      <right style="thin">
        <color rgb="FF000000"/>
      </right>
      <top style="thin">
        <color rgb="FFAAAAAA"/>
      </top>
      <bottom style="thin">
        <color rgb="FFAAAAAA"/>
      </bottom>
    </border>
    <border>
      <left style="thin">
        <color rgb="FFAAAAAA"/>
      </left>
      <right style="thin">
        <color rgb="FFAAAAAA"/>
      </right>
      <top style="thin">
        <color rgb="FFAAAAAA"/>
      </top>
      <bottom style="thin">
        <color rgb="FF000000"/>
      </bottom>
    </border>
    <border>
      <left style="thin">
        <color rgb="FFAAAAAA"/>
      </left>
      <top style="thin">
        <color rgb="FF000000"/>
      </top>
      <bottom style="thin">
        <color rgb="FFAAAAAA"/>
      </bottom>
    </border>
    <border>
      <right style="thin">
        <color rgb="FFAAAAAA"/>
      </right>
      <top style="thin">
        <color rgb="FF000000"/>
      </top>
      <bottom style="thin">
        <color rgb="FFAAAAAA"/>
      </bottom>
    </border>
    <border>
      <top style="thin">
        <color rgb="FF000000"/>
      </top>
      <bottom style="thin">
        <color rgb="FFAAAAAA"/>
      </bottom>
    </border>
    <border>
      <left style="thin">
        <color rgb="FFAAAAAA"/>
      </left>
      <top style="thin">
        <color rgb="FFAAAAAA"/>
      </top>
      <bottom style="thin">
        <color rgb="FFAAAAAA"/>
      </bottom>
    </border>
    <border>
      <right style="thin">
        <color rgb="FFAAAAAA"/>
      </right>
      <top style="thin">
        <color rgb="FFAAAAAA"/>
      </top>
      <bottom style="thin">
        <color rgb="FFAAAAAA"/>
      </bottom>
    </border>
    <border>
      <top style="thin">
        <color rgb="FFAAAAAA"/>
      </top>
      <bottom style="thin">
        <color rgb="FFAAAAAA"/>
      </bottom>
    </border>
    <border>
      <left style="thin">
        <color rgb="FFAAAAAA"/>
      </left>
      <right style="thin">
        <color rgb="FFAAAAAA"/>
      </right>
      <top style="thin">
        <color rgb="FFAAAAAA"/>
      </top>
      <bottom/>
    </border>
    <border>
      <left style="thin">
        <color rgb="FFAAAAAA"/>
      </left>
      <top style="thin">
        <color rgb="FFAAAAAA"/>
      </top>
      <bottom/>
    </border>
    <border>
      <right style="thin">
        <color rgb="FFAAAAAA"/>
      </right>
      <top style="thin">
        <color rgb="FFAAAAAA"/>
      </top>
      <bottom/>
    </border>
    <border>
      <top style="thin">
        <color rgb="FFAAAAAA"/>
      </top>
      <bottom/>
    </border>
    <border>
      <left style="thin">
        <color rgb="FFAAAAAA"/>
      </left>
      <right/>
      <top/>
      <bottom/>
    </border>
    <border>
      <left/>
      <right style="thin">
        <color rgb="FFAAAAAA"/>
      </right>
      <top style="thin">
        <color rgb="FFAAAAAA"/>
      </top>
      <bottom style="thin">
        <color rgb="FFAAAAAA"/>
      </bottom>
    </border>
    <border>
      <left style="thin">
        <color rgb="FFAAAAAA"/>
      </left>
      <right style="thin">
        <color rgb="FFAAAAAA"/>
      </right>
      <top/>
      <bottom/>
    </border>
    <border>
      <left style="thin">
        <color rgb="FFAAAAAA"/>
      </left>
      <top/>
      <bottom/>
    </border>
    <border>
      <right style="thin">
        <color rgb="FFAAAAAA"/>
      </right>
      <top/>
      <bottom/>
    </border>
    <border>
      <top/>
      <bottom/>
    </border>
    <border>
      <left style="thin">
        <color rgb="FFAAAAAA"/>
      </left>
      <right style="thin">
        <color rgb="FFAAAAAA"/>
      </right>
      <top/>
      <bottom style="thin">
        <color rgb="FFAAAAAA"/>
      </bottom>
    </border>
    <border>
      <left style="thin">
        <color rgb="FFAAAAAA"/>
      </left>
      <top/>
      <bottom style="thin">
        <color rgb="FFAAAAAA"/>
      </bottom>
    </border>
    <border>
      <right style="thin">
        <color rgb="FFAAAAAA"/>
      </right>
      <top/>
      <bottom style="thin">
        <color rgb="FFAAAAAA"/>
      </bottom>
    </border>
    <border>
      <top/>
      <bottom style="thin">
        <color rgb="FFAAAAAA"/>
      </bottom>
    </border>
    <border>
      <left style="thin">
        <color rgb="FF000000"/>
      </left>
      <right style="thin">
        <color rgb="FFAAAAAA"/>
      </right>
      <top style="thin">
        <color rgb="FF000000"/>
      </top>
      <bottom style="thin">
        <color rgb="FFAAAAAA"/>
      </bottom>
    </border>
    <border>
      <left style="thin">
        <color rgb="FFAAAAAA"/>
      </left>
      <right style="thin">
        <color rgb="FF000000"/>
      </right>
      <top style="thin">
        <color rgb="FF000000"/>
      </top>
      <bottom style="thin">
        <color rgb="FFAAAAAA"/>
      </bottom>
    </border>
    <border>
      <left style="thin">
        <color rgb="FF000000"/>
      </left>
      <right style="thin">
        <color rgb="FFAAAAAA"/>
      </right>
      <top style="thin">
        <color rgb="FFAAAAAA"/>
      </top>
      <bottom style="thin">
        <color rgb="FF000000"/>
      </bottom>
    </border>
    <border>
      <left style="thin">
        <color rgb="FFAAAAAA"/>
      </left>
      <right style="thin">
        <color rgb="FF000000"/>
      </right>
      <top style="thin">
        <color rgb="FFAAAAAA"/>
      </top>
      <bottom style="thin">
        <color rgb="FF000000"/>
      </bottom>
    </border>
    <border>
      <left style="thin">
        <color rgb="FF7F7F7F"/>
      </left>
      <right style="thin">
        <color rgb="FF7F7F7F"/>
      </right>
      <top style="thin">
        <color rgb="FF7F7F7F"/>
      </top>
      <bottom style="thin">
        <color rgb="FF7F7F7F"/>
      </bottom>
    </border>
    <border>
      <left style="thin">
        <color rgb="FF7F7F7F"/>
      </left>
      <right style="thin">
        <color rgb="FFAAAAAA"/>
      </right>
      <top style="thin">
        <color rgb="FFAAAAAA"/>
      </top>
      <bottom style="thin">
        <color rgb="FFAAAAAA"/>
      </bottom>
    </border>
    <border>
      <left style="thin">
        <color rgb="FF7F7F7F"/>
      </left>
      <right style="thin">
        <color rgb="FF7F7F7F"/>
      </right>
      <top style="thin">
        <color rgb="FF7F7F7F"/>
      </top>
      <bottom style="thin">
        <color rgb="FF000000"/>
      </bottom>
    </border>
    <border>
      <left style="thin">
        <color rgb="FF000000"/>
      </left>
      <right style="thin">
        <color rgb="FFAAAAAA"/>
      </right>
      <top style="thin">
        <color rgb="FF7F7F7F"/>
      </top>
      <bottom style="thin">
        <color rgb="FFAAAAAA"/>
      </bottom>
    </border>
    <border>
      <left style="thin">
        <color rgb="FF000000"/>
      </left>
      <right style="thin">
        <color rgb="FF000000"/>
      </right>
      <top style="thin">
        <color rgb="FF000000"/>
      </top>
      <bottom style="thin">
        <color rgb="FF231F20"/>
      </bottom>
    </border>
    <border>
      <left style="thin">
        <color rgb="FF000000"/>
      </left>
      <right style="thin">
        <color rgb="FFAAAAAA"/>
      </right>
      <top style="thin">
        <color rgb="FFAAAAAA"/>
      </top>
      <bottom style="thin">
        <color rgb="FF231F20"/>
      </bottom>
    </border>
    <border>
      <left style="thin">
        <color rgb="FF231F20"/>
      </left>
      <right style="thin">
        <color rgb="FF231F20"/>
      </right>
      <top style="thin">
        <color rgb="FF231F20"/>
      </top>
      <bottom style="thin">
        <color rgb="FF231F20"/>
      </bottom>
    </border>
    <border>
      <left style="thin">
        <color rgb="FF231F20"/>
      </left>
      <right style="thin">
        <color rgb="FFAAAAAA"/>
      </right>
      <top style="thin">
        <color rgb="FFAAAAAA"/>
      </top>
      <bottom style="thin">
        <color rgb="FFAAAAAA"/>
      </bottom>
    </border>
    <border>
      <left style="thin">
        <color rgb="FFAAAAAA"/>
      </left>
      <right/>
      <top style="thin">
        <color rgb="FF231F20"/>
      </top>
      <bottom style="thin">
        <color rgb="FF231F20"/>
      </bottom>
    </border>
    <border>
      <left/>
      <right/>
      <top style="thin">
        <color rgb="FF231F20"/>
      </top>
      <bottom style="thin">
        <color rgb="FF231F20"/>
      </bottom>
    </border>
    <border>
      <left style="thin">
        <color rgb="FF231F20"/>
      </left>
      <right style="thin">
        <color rgb="FF231F20"/>
      </right>
      <top style="thin">
        <color rgb="FF231F20"/>
      </top>
      <bottom style="thin">
        <color rgb="FF000000"/>
      </bottom>
    </border>
    <border>
      <left style="thin">
        <color rgb="FF000000"/>
      </left>
      <right style="thin">
        <color rgb="FFAAAAAA"/>
      </right>
      <top style="thin">
        <color rgb="FF231F20"/>
      </top>
      <bottom style="thin">
        <color rgb="FF231F20"/>
      </bottom>
    </border>
    <border>
      <left style="thin">
        <color rgb="FFAAAAAA"/>
      </left>
      <right/>
      <top style="thin">
        <color rgb="FF231F20"/>
      </top>
      <bottom/>
    </border>
    <border>
      <left/>
      <right/>
      <top style="thin">
        <color rgb="FF231F20"/>
      </top>
      <bottom/>
    </border>
    <border>
      <left style="thin">
        <color rgb="FFAAAAAA"/>
      </left>
      <right style="thin">
        <color rgb="FFAAAAAA"/>
      </right>
      <bottom style="thin">
        <color rgb="FF000000"/>
      </bottom>
    </border>
    <border>
      <left style="thin">
        <color rgb="FFAAAAAA"/>
      </left>
      <right style="thin">
        <color rgb="FFAAAAAA"/>
      </right>
      <top style="thin">
        <color rgb="FFAAAAAA"/>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AAAAAA"/>
      </right>
      <top style="thin">
        <color rgb="FFAAAAAA"/>
      </top>
      <bottom style="thin">
        <color rgb="FFAAAAAA"/>
      </bottom>
    </border>
    <border>
      <left style="thin">
        <color rgb="FFAAAAAA"/>
      </left>
      <right style="thin">
        <color rgb="FFAAAAAA"/>
      </right>
      <top style="medium">
        <color rgb="FF000000"/>
      </top>
      <bottom style="thin">
        <color rgb="FFAAAAAA"/>
      </bottom>
    </border>
    <border>
      <left style="thin">
        <color rgb="FFAAAAAA"/>
      </left>
      <right style="thin">
        <color rgb="FFAAAAAA"/>
      </right>
      <top style="medium">
        <color rgb="FF000000"/>
      </top>
      <bottom style="medium">
        <color rgb="FF000000"/>
      </bottom>
    </border>
    <border>
      <left style="thin">
        <color rgb="FFAAAAAA"/>
      </left>
      <right style="thin">
        <color rgb="FFAAAAAA"/>
      </right>
      <top style="thin">
        <color rgb="FFAAAAAA"/>
      </top>
      <bottom style="medium">
        <color rgb="FFCCCCCC"/>
      </bottom>
    </border>
    <border>
      <left style="thin">
        <color rgb="FFAAAAAA"/>
      </left>
      <right/>
      <top style="thin">
        <color rgb="FFAAAAAA"/>
      </top>
      <bottom style="thin">
        <color rgb="FFAAAAAA"/>
      </bottom>
    </border>
    <border>
      <left/>
      <right/>
      <top style="thin">
        <color rgb="FFAAAAAA"/>
      </top>
      <bottom style="medium">
        <color rgb="FFCCCCCC"/>
      </bottom>
    </border>
    <border>
      <left style="thin">
        <color rgb="FFAAAAAA"/>
      </left>
      <right style="medium">
        <color rgb="FFCCCCCC"/>
      </right>
      <top style="thin">
        <color rgb="FFAAAAAA"/>
      </top>
      <bottom style="thin">
        <color rgb="FFAAAAAA"/>
      </bottom>
    </border>
    <border>
      <left style="medium">
        <color rgb="FFCCCCCC"/>
      </left>
      <right style="medium">
        <color rgb="FFCCCCCC"/>
      </right>
      <top style="medium">
        <color rgb="FFCCCCCC"/>
      </top>
      <bottom style="medium">
        <color rgb="FFCCCCCC"/>
      </bottom>
    </border>
    <border>
      <left style="medium">
        <color rgb="FFCCCCCC"/>
      </left>
      <right style="thin">
        <color rgb="FFAAAAAA"/>
      </right>
      <top style="thin">
        <color rgb="FFAAAAAA"/>
      </top>
      <bottom style="thin">
        <color rgb="FFAAAAAA"/>
      </bottom>
    </border>
    <border>
      <left style="medium">
        <color rgb="FFCCCCCC"/>
      </left>
      <right style="thin">
        <color rgb="FFAAAAAA"/>
      </right>
      <top/>
      <bottom style="thin">
        <color rgb="FFAAAAAA"/>
      </bottom>
    </border>
    <border>
      <left style="medium">
        <color rgb="FFCCCCCC"/>
      </left>
      <right style="thin">
        <color rgb="FFAAAAAA"/>
      </right>
      <top style="thin">
        <color rgb="FFAAAAAA"/>
      </top>
      <bottom style="thin">
        <color rgb="FF000000"/>
      </bottom>
    </border>
    <border>
      <left style="medium">
        <color rgb="FFCCCCCC"/>
      </left>
      <right style="thin">
        <color rgb="FFAAAAAA"/>
      </right>
      <top style="thin">
        <color rgb="FF000000"/>
      </top>
      <bottom style="thin">
        <color rgb="FFAAAAAA"/>
      </bottom>
    </border>
    <border>
      <left style="thin">
        <color rgb="FFAAAAAA"/>
      </left>
      <right style="thin">
        <color rgb="FFAAAAAA"/>
      </right>
      <top style="medium">
        <color rgb="FFCCCCCC"/>
      </top>
      <bottom style="thin">
        <color rgb="FFAAAAAA"/>
      </bottom>
    </border>
    <border>
      <left style="medium">
        <color rgb="FFCCCCCC"/>
      </left>
      <right style="medium">
        <color rgb="FFCCCCCC"/>
      </right>
      <top style="medium">
        <color rgb="FFCCCCCC"/>
      </top>
      <bottom style="thin">
        <color rgb="FFAAAAAA"/>
      </bottom>
    </border>
    <border>
      <left style="thin">
        <color rgb="FFAAAAAA"/>
      </left>
      <right/>
      <top style="thin">
        <color rgb="FFAAAAAA"/>
      </top>
      <bottom/>
    </border>
    <border>
      <left style="thin">
        <color rgb="FFAAAAAA"/>
      </left>
      <right style="thin">
        <color rgb="FFAAAAAA"/>
      </right>
      <top/>
      <bottom style="medium">
        <color rgb="FF7F7F7F"/>
      </bottom>
    </border>
    <border>
      <left style="thin">
        <color rgb="FFAAAAAA"/>
      </left>
      <right style="thin">
        <color rgb="FFAAAAAA"/>
      </right>
      <top style="thin">
        <color rgb="FFAAAAAA"/>
      </top>
      <bottom style="medium">
        <color rgb="FF7F7F7F"/>
      </bottom>
    </border>
    <border>
      <left style="thin">
        <color rgb="FFAAAAAA"/>
      </left>
      <right/>
      <top style="medium">
        <color rgb="FF7F7F7F"/>
      </top>
      <bottom/>
    </border>
    <border>
      <left/>
      <right/>
      <top style="medium">
        <color rgb="FF7F7F7F"/>
      </top>
      <bottom/>
    </border>
    <border>
      <left style="thin">
        <color rgb="FFAAAAAA"/>
      </left>
      <right/>
      <top/>
      <bottom style="thin">
        <color rgb="FFAAAAAA"/>
      </bottom>
    </border>
  </borders>
  <cellStyleXfs count="1">
    <xf borderId="0" fillId="0" fontId="0" numFmtId="0" applyAlignment="1" applyFont="1"/>
  </cellStyleXfs>
  <cellXfs count="396">
    <xf borderId="0" fillId="0" fontId="0" numFmtId="0" xfId="0" applyAlignment="1" applyFont="1">
      <alignment readingOrder="0" shrinkToFit="0" vertical="top" wrapText="1"/>
    </xf>
    <xf borderId="1" fillId="2" fontId="1" numFmtId="0" xfId="0" applyAlignment="1" applyBorder="1" applyFill="1" applyFont="1">
      <alignment horizontal="left" shrinkToFit="0" vertical="bottom" wrapText="0"/>
    </xf>
    <xf borderId="2" fillId="0" fontId="2" numFmtId="0" xfId="0" applyAlignment="1" applyBorder="1" applyFont="1">
      <alignment shrinkToFit="0" vertical="top" wrapText="1"/>
    </xf>
    <xf borderId="3" fillId="2" fontId="3" numFmtId="0" xfId="0" applyAlignment="1" applyBorder="1" applyFont="1">
      <alignment shrinkToFit="0" vertical="bottom" wrapText="0"/>
    </xf>
    <xf borderId="4" fillId="2" fontId="3" numFmtId="0" xfId="0" applyAlignment="1" applyBorder="1" applyFont="1">
      <alignment shrinkToFit="0" vertical="bottom" wrapText="0"/>
    </xf>
    <xf borderId="5" fillId="2" fontId="3" numFmtId="0" xfId="0" applyAlignment="1" applyBorder="1" applyFont="1">
      <alignment shrinkToFit="0" vertical="bottom" wrapText="0"/>
    </xf>
    <xf borderId="0" fillId="0" fontId="3" numFmtId="0" xfId="0" applyAlignment="1" applyFont="1">
      <alignment shrinkToFit="0" vertical="top" wrapText="1"/>
    </xf>
    <xf borderId="6" fillId="2" fontId="3" numFmtId="0" xfId="0" applyAlignment="1" applyBorder="1" applyFont="1">
      <alignment shrinkToFit="0" vertical="bottom" wrapText="0"/>
    </xf>
    <xf borderId="7" fillId="2" fontId="3" numFmtId="0" xfId="0" applyAlignment="1" applyBorder="1" applyFont="1">
      <alignment shrinkToFit="0" vertical="bottom" wrapText="0"/>
    </xf>
    <xf borderId="8" fillId="2" fontId="3" numFmtId="0" xfId="0" applyAlignment="1" applyBorder="1" applyFont="1">
      <alignment shrinkToFit="0" vertical="bottom" wrapText="0"/>
    </xf>
    <xf borderId="9" fillId="2" fontId="3" numFmtId="0" xfId="0" applyAlignment="1" applyBorder="1" applyFont="1">
      <alignment shrinkToFit="0" vertical="bottom" wrapText="0"/>
    </xf>
    <xf borderId="10" fillId="2" fontId="3" numFmtId="0" xfId="0" applyAlignment="1" applyBorder="1" applyFont="1">
      <alignment shrinkToFit="0" vertical="bottom" wrapText="0"/>
    </xf>
    <xf borderId="11" fillId="2" fontId="3" numFmtId="0" xfId="0" applyAlignment="1" applyBorder="1" applyFont="1">
      <alignment shrinkToFit="0" vertical="bottom" wrapText="0"/>
    </xf>
    <xf borderId="12" fillId="3" fontId="4" numFmtId="49" xfId="0" applyAlignment="1" applyBorder="1" applyFill="1" applyFont="1" applyNumberFormat="1">
      <alignment horizontal="left" shrinkToFit="0" vertical="center" wrapText="1"/>
    </xf>
    <xf borderId="13" fillId="0" fontId="2" numFmtId="0" xfId="0" applyAlignment="1" applyBorder="1" applyFont="1">
      <alignment shrinkToFit="0" vertical="top" wrapText="1"/>
    </xf>
    <xf borderId="14" fillId="2" fontId="3" numFmtId="0" xfId="0" applyAlignment="1" applyBorder="1" applyFont="1">
      <alignment shrinkToFit="0" vertical="bottom" wrapText="0"/>
    </xf>
    <xf borderId="15" fillId="2" fontId="3" numFmtId="0" xfId="0" applyAlignment="1" applyBorder="1" applyFont="1">
      <alignment shrinkToFit="0" vertical="bottom" wrapText="0"/>
    </xf>
    <xf borderId="16" fillId="2" fontId="3" numFmtId="0" xfId="0" applyAlignment="1" applyBorder="1" applyFont="1">
      <alignment shrinkToFit="0" vertical="bottom" wrapText="0"/>
    </xf>
    <xf borderId="12" fillId="4" fontId="5" numFmtId="49" xfId="0" applyAlignment="1" applyBorder="1" applyFill="1" applyFont="1" applyNumberFormat="1">
      <alignment horizontal="left" shrinkToFit="0" vertical="center" wrapText="1"/>
    </xf>
    <xf borderId="17" fillId="0" fontId="3" numFmtId="0" xfId="0" applyAlignment="1" applyBorder="1" applyFont="1">
      <alignment shrinkToFit="0" vertical="top" wrapText="1"/>
    </xf>
    <xf borderId="18" fillId="0" fontId="3" numFmtId="0" xfId="0" applyAlignment="1" applyBorder="1" applyFont="1">
      <alignment shrinkToFit="0" vertical="top" wrapText="1"/>
    </xf>
    <xf borderId="12" fillId="5" fontId="4" numFmtId="0" xfId="0" applyAlignment="1" applyBorder="1" applyFill="1" applyFont="1">
      <alignment horizontal="left" shrinkToFit="0" vertical="center" wrapText="1"/>
    </xf>
    <xf borderId="17" fillId="2" fontId="4" numFmtId="0" xfId="0" applyAlignment="1" applyBorder="1" applyFont="1">
      <alignment shrinkToFit="0" vertical="center" wrapText="1"/>
    </xf>
    <xf borderId="18" fillId="2" fontId="4" numFmtId="0" xfId="0" applyAlignment="1" applyBorder="1" applyFont="1">
      <alignment shrinkToFit="0" vertical="center" wrapText="1"/>
    </xf>
    <xf borderId="18" fillId="2" fontId="6" numFmtId="0" xfId="0" applyAlignment="1" applyBorder="1" applyFont="1">
      <alignment shrinkToFit="0" vertical="bottom" wrapText="0"/>
    </xf>
    <xf borderId="12" fillId="4" fontId="7" numFmtId="49" xfId="0" applyAlignment="1" applyBorder="1" applyFont="1" applyNumberFormat="1">
      <alignment horizontal="left" shrinkToFit="0" vertical="center" wrapText="1"/>
    </xf>
    <xf borderId="12" fillId="2" fontId="6" numFmtId="49" xfId="0" applyAlignment="1" applyBorder="1" applyFont="1" applyNumberFormat="1">
      <alignment horizontal="left" shrinkToFit="0" vertical="center" wrapText="1"/>
    </xf>
    <xf borderId="19" fillId="2" fontId="8" numFmtId="49" xfId="0" applyAlignment="1" applyBorder="1" applyFont="1" applyNumberFormat="1">
      <alignment horizontal="left" shrinkToFit="0" vertical="center" wrapText="1"/>
    </xf>
    <xf borderId="19" fillId="2" fontId="6" numFmtId="49" xfId="0" applyAlignment="1" applyBorder="1" applyFont="1" applyNumberFormat="1">
      <alignment shrinkToFit="0" vertical="center" wrapText="1"/>
    </xf>
    <xf borderId="12" fillId="0" fontId="8" numFmtId="49" xfId="0" applyAlignment="1" applyBorder="1" applyFont="1" applyNumberFormat="1">
      <alignment horizontal="left" shrinkToFit="0" vertical="top" wrapText="1"/>
    </xf>
    <xf borderId="19" fillId="2" fontId="9" numFmtId="49" xfId="0" applyAlignment="1" applyBorder="1" applyFont="1" applyNumberFormat="1">
      <alignment shrinkToFit="0" vertical="center" wrapText="1"/>
    </xf>
    <xf borderId="19" fillId="5" fontId="6" numFmtId="0" xfId="0" applyAlignment="1" applyBorder="1" applyFont="1">
      <alignment horizontal="left" shrinkToFit="0" vertical="center" wrapText="1"/>
    </xf>
    <xf borderId="19" fillId="2" fontId="6" numFmtId="49" xfId="0" applyAlignment="1" applyBorder="1" applyFont="1" applyNumberFormat="1">
      <alignment horizontal="left" shrinkToFit="0" vertical="center" wrapText="1"/>
    </xf>
    <xf borderId="20" fillId="2" fontId="6" numFmtId="0" xfId="0" applyAlignment="1" applyBorder="1" applyFont="1">
      <alignment shrinkToFit="0" vertical="center" wrapText="1"/>
    </xf>
    <xf borderId="21" fillId="0" fontId="2" numFmtId="0" xfId="0" applyAlignment="1" applyBorder="1" applyFont="1">
      <alignment shrinkToFit="0" vertical="top" wrapText="1"/>
    </xf>
    <xf borderId="12" fillId="6" fontId="10" numFmtId="49" xfId="0" applyAlignment="1" applyBorder="1" applyFill="1" applyFont="1" applyNumberFormat="1">
      <alignment horizontal="center" shrinkToFit="0" vertical="center" wrapText="1"/>
    </xf>
    <xf borderId="22" fillId="2" fontId="3" numFmtId="0" xfId="0" applyAlignment="1" applyBorder="1" applyFont="1">
      <alignment horizontal="center" shrinkToFit="0" vertical="center" wrapText="1"/>
    </xf>
    <xf borderId="22" fillId="0" fontId="3" numFmtId="0" xfId="0" applyAlignment="1" applyBorder="1" applyFont="1">
      <alignment shrinkToFit="0" vertical="top" wrapText="1"/>
    </xf>
    <xf borderId="18" fillId="2" fontId="6" numFmtId="0" xfId="0" applyAlignment="1" applyBorder="1" applyFont="1">
      <alignment shrinkToFit="0" vertical="center" wrapText="1"/>
    </xf>
    <xf borderId="12" fillId="6" fontId="5" numFmtId="49" xfId="0" applyAlignment="1" applyBorder="1" applyFont="1" applyNumberFormat="1">
      <alignment horizontal="left" shrinkToFit="0" vertical="center" wrapText="1"/>
    </xf>
    <xf borderId="23" fillId="0" fontId="2" numFmtId="0" xfId="0" applyAlignment="1" applyBorder="1" applyFont="1">
      <alignment shrinkToFit="0" vertical="top" wrapText="1"/>
    </xf>
    <xf borderId="19" fillId="6" fontId="7" numFmtId="49" xfId="0" applyAlignment="1" applyBorder="1" applyFont="1" applyNumberFormat="1">
      <alignment horizontal="center" shrinkToFit="0" vertical="center" wrapText="1"/>
    </xf>
    <xf borderId="12" fillId="5" fontId="4" numFmtId="49" xfId="0" applyAlignment="1" applyBorder="1" applyFont="1" applyNumberFormat="1">
      <alignment horizontal="left" shrinkToFit="0" vertical="center" wrapText="1"/>
    </xf>
    <xf borderId="19" fillId="5" fontId="11" numFmtId="49" xfId="0" applyAlignment="1" applyBorder="1" applyFont="1" applyNumberFormat="1">
      <alignment shrinkToFit="0" vertical="center" wrapText="1"/>
    </xf>
    <xf borderId="12" fillId="2" fontId="12" numFmtId="164" xfId="0" applyAlignment="1" applyBorder="1" applyFont="1" applyNumberFormat="1">
      <alignment horizontal="left" shrinkToFit="0" vertical="center" wrapText="1"/>
    </xf>
    <xf borderId="12" fillId="4" fontId="13" numFmtId="49" xfId="0" applyAlignment="1" applyBorder="1" applyFont="1" applyNumberFormat="1">
      <alignment horizontal="left" shrinkToFit="0" vertical="center" wrapText="1"/>
    </xf>
    <xf borderId="19" fillId="4" fontId="13" numFmtId="0" xfId="0" applyAlignment="1" applyBorder="1" applyFont="1">
      <alignment horizontal="center" shrinkToFit="0" vertical="center" wrapText="1"/>
    </xf>
    <xf borderId="19" fillId="4" fontId="13" numFmtId="1" xfId="0" applyAlignment="1" applyBorder="1" applyFont="1" applyNumberFormat="1">
      <alignment horizontal="left" shrinkToFit="0" vertical="center" wrapText="1"/>
    </xf>
    <xf borderId="19" fillId="4" fontId="14" numFmtId="1" xfId="0" applyAlignment="1" applyBorder="1" applyFont="1" applyNumberFormat="1">
      <alignment horizontal="left" shrinkToFit="0" vertical="center" wrapText="1"/>
    </xf>
    <xf borderId="12" fillId="7" fontId="3" numFmtId="49" xfId="0" applyAlignment="1" applyBorder="1" applyFill="1" applyFont="1" applyNumberFormat="1">
      <alignment horizontal="left" shrinkToFit="0" vertical="center" wrapText="1"/>
    </xf>
    <xf borderId="12" fillId="8" fontId="15" numFmtId="49" xfId="0" applyAlignment="1" applyBorder="1" applyFill="1" applyFont="1" applyNumberFormat="1">
      <alignment horizontal="left" shrinkToFit="0" vertical="center" wrapText="1"/>
    </xf>
    <xf borderId="19" fillId="5" fontId="6" numFmtId="49" xfId="0" applyAlignment="1" applyBorder="1" applyFont="1" applyNumberFormat="1">
      <alignment shrinkToFit="0" vertical="center" wrapText="1"/>
    </xf>
    <xf borderId="19" fillId="5" fontId="6" numFmtId="49" xfId="0" applyAlignment="1" applyBorder="1" applyFont="1" applyNumberFormat="1">
      <alignment horizontal="left" shrinkToFit="0" vertical="center" wrapText="1"/>
    </xf>
    <xf borderId="12" fillId="2" fontId="16" numFmtId="49" xfId="0" applyAlignment="1" applyBorder="1" applyFont="1" applyNumberFormat="1">
      <alignment horizontal="left" shrinkToFit="0" vertical="center" wrapText="1"/>
    </xf>
    <xf borderId="12" fillId="2" fontId="17" numFmtId="49" xfId="0" applyAlignment="1" applyBorder="1" applyFont="1" applyNumberFormat="1">
      <alignment horizontal="left" shrinkToFit="0" vertical="center" wrapText="1"/>
    </xf>
    <xf borderId="12" fillId="2" fontId="16" numFmtId="49" xfId="0" applyAlignment="1" applyBorder="1" applyFont="1" applyNumberFormat="1">
      <alignment horizontal="left" readingOrder="0" shrinkToFit="0" vertical="center" wrapText="1"/>
    </xf>
    <xf borderId="6" fillId="2" fontId="6" numFmtId="0" xfId="0" applyAlignment="1" applyBorder="1" applyFont="1">
      <alignment shrinkToFit="0" vertical="bottom" wrapText="0"/>
    </xf>
    <xf borderId="8" fillId="2" fontId="6" numFmtId="0" xfId="0" applyAlignment="1" applyBorder="1" applyFont="1">
      <alignment shrinkToFit="0" vertical="bottom" wrapText="0"/>
    </xf>
    <xf borderId="12" fillId="5" fontId="16" numFmtId="49" xfId="0" applyAlignment="1" applyBorder="1" applyFont="1" applyNumberFormat="1">
      <alignment horizontal="left" shrinkToFit="0" vertical="center" wrapText="1"/>
    </xf>
    <xf borderId="12" fillId="5" fontId="16" numFmtId="49" xfId="0" applyAlignment="1" applyBorder="1" applyFont="1" applyNumberFormat="1">
      <alignment shrinkToFit="0" vertical="center" wrapText="1"/>
    </xf>
    <xf borderId="19" fillId="4" fontId="13" numFmtId="49" xfId="0" applyAlignment="1" applyBorder="1" applyFont="1" applyNumberFormat="1">
      <alignment horizontal="center" shrinkToFit="0" vertical="center" wrapText="1"/>
    </xf>
    <xf borderId="19" fillId="4" fontId="18" numFmtId="49" xfId="0" applyAlignment="1" applyBorder="1" applyFont="1" applyNumberFormat="1">
      <alignment horizontal="center" shrinkToFit="0" vertical="center" wrapText="1"/>
    </xf>
    <xf borderId="19" fillId="5" fontId="3" numFmtId="49" xfId="0" applyAlignment="1" applyBorder="1" applyFont="1" applyNumberFormat="1">
      <alignment shrinkToFit="0" vertical="center" wrapText="1"/>
    </xf>
    <xf borderId="19" fillId="2" fontId="3" numFmtId="49" xfId="0" applyAlignment="1" applyBorder="1" applyFont="1" applyNumberFormat="1">
      <alignment shrinkToFit="0" vertical="center" wrapText="1"/>
    </xf>
    <xf borderId="19" fillId="2" fontId="19" numFmtId="0" xfId="0" applyAlignment="1" applyBorder="1" applyFont="1">
      <alignment shrinkToFit="0" vertical="center" wrapText="1"/>
    </xf>
    <xf borderId="19" fillId="5" fontId="20" numFmtId="49" xfId="0" applyAlignment="1" applyBorder="1" applyFont="1" applyNumberFormat="1">
      <alignment shrinkToFit="0" vertical="center" wrapText="1"/>
    </xf>
    <xf borderId="19" fillId="2" fontId="3" numFmtId="0" xfId="0" applyAlignment="1" applyBorder="1" applyFont="1">
      <alignment shrinkToFit="0" vertical="center" wrapText="1"/>
    </xf>
    <xf borderId="19" fillId="2" fontId="8" numFmtId="49" xfId="0" applyAlignment="1" applyBorder="1" applyFont="1" applyNumberFormat="1">
      <alignment shrinkToFit="0" vertical="center" wrapText="1"/>
    </xf>
    <xf borderId="19" fillId="0" fontId="21" numFmtId="0" xfId="0" applyAlignment="1" applyBorder="1" applyFont="1">
      <alignment readingOrder="0" shrinkToFit="0" vertical="top" wrapText="1"/>
    </xf>
    <xf borderId="19" fillId="2" fontId="6" numFmtId="1" xfId="0" applyAlignment="1" applyBorder="1" applyFont="1" applyNumberFormat="1">
      <alignment readingOrder="0" shrinkToFit="0" vertical="center" wrapText="1"/>
    </xf>
    <xf borderId="19" fillId="0" fontId="22" numFmtId="0" xfId="0" applyAlignment="1" applyBorder="1" applyFont="1">
      <alignment readingOrder="0" shrinkToFit="0" vertical="top" wrapText="1"/>
    </xf>
    <xf borderId="12" fillId="2" fontId="6" numFmtId="49" xfId="0" applyAlignment="1" applyBorder="1" applyFont="1" applyNumberFormat="1">
      <alignment shrinkToFit="0" vertical="center" wrapText="1"/>
    </xf>
    <xf borderId="12" fillId="2" fontId="6" numFmtId="49" xfId="0" applyAlignment="1" applyBorder="1" applyFont="1" applyNumberFormat="1">
      <alignment readingOrder="0" shrinkToFit="0" vertical="center" wrapText="1"/>
    </xf>
    <xf borderId="19" fillId="2" fontId="3" numFmtId="49" xfId="0" applyAlignment="1" applyBorder="1" applyFont="1" applyNumberFormat="1">
      <alignment readingOrder="0" shrinkToFit="0" vertical="center" wrapText="1"/>
    </xf>
    <xf borderId="12" fillId="2" fontId="6" numFmtId="49" xfId="0" applyAlignment="1" applyBorder="1" applyFont="1" applyNumberFormat="1">
      <alignment horizontal="left" readingOrder="0" shrinkToFit="0" vertical="center" wrapText="1"/>
    </xf>
    <xf borderId="12" fillId="2" fontId="23" numFmtId="49" xfId="0" applyAlignment="1" applyBorder="1" applyFont="1" applyNumberFormat="1">
      <alignment horizontal="left" readingOrder="0" shrinkToFit="0" vertical="center" wrapText="1"/>
    </xf>
    <xf borderId="19" fillId="2" fontId="19" numFmtId="1" xfId="0" applyAlignment="1" applyBorder="1" applyFont="1" applyNumberFormat="1">
      <alignment shrinkToFit="0" vertical="center" wrapText="1"/>
    </xf>
    <xf borderId="19" fillId="2" fontId="3" numFmtId="1" xfId="0" applyAlignment="1" applyBorder="1" applyFont="1" applyNumberFormat="1">
      <alignment shrinkToFit="0" vertical="center" wrapText="1"/>
    </xf>
    <xf borderId="19" fillId="2" fontId="6" numFmtId="49" xfId="0" applyAlignment="1" applyBorder="1" applyFont="1" applyNumberFormat="1">
      <alignment horizontal="center" readingOrder="0" shrinkToFit="0" vertical="center" wrapText="0"/>
    </xf>
    <xf borderId="6" fillId="2" fontId="6" numFmtId="0" xfId="0" applyAlignment="1" applyBorder="1" applyFont="1">
      <alignment horizontal="left" shrinkToFit="0" vertical="center" wrapText="0"/>
    </xf>
    <xf borderId="8" fillId="2" fontId="6" numFmtId="0" xfId="0" applyAlignment="1" applyBorder="1" applyFont="1">
      <alignment horizontal="left" shrinkToFit="0" vertical="center" wrapText="0"/>
    </xf>
    <xf borderId="19" fillId="2" fontId="6" numFmtId="49" xfId="0" applyAlignment="1" applyBorder="1" applyFont="1" applyNumberFormat="1">
      <alignment horizontal="center" shrinkToFit="0" vertical="center" wrapText="0"/>
    </xf>
    <xf borderId="19" fillId="2" fontId="6" numFmtId="1" xfId="0" applyAlignment="1" applyBorder="1" applyFont="1" applyNumberFormat="1">
      <alignment shrinkToFit="0" vertical="bottom" wrapText="1"/>
    </xf>
    <xf borderId="19" fillId="9" fontId="3" numFmtId="49" xfId="0" applyAlignment="1" applyBorder="1" applyFill="1" applyFont="1" applyNumberFormat="1">
      <alignment shrinkToFit="0" vertical="center" wrapText="1"/>
    </xf>
    <xf borderId="19" fillId="0" fontId="24" numFmtId="0" xfId="0" applyAlignment="1" applyBorder="1" applyFont="1">
      <alignment readingOrder="0" shrinkToFit="0" vertical="top" wrapText="1"/>
    </xf>
    <xf borderId="19" fillId="2" fontId="25" numFmtId="49" xfId="0" applyAlignment="1" applyBorder="1" applyFont="1" applyNumberFormat="1">
      <alignment horizontal="left" shrinkToFit="0" vertical="center" wrapText="1"/>
    </xf>
    <xf borderId="19" fillId="2" fontId="6" numFmtId="1" xfId="0" applyAlignment="1" applyBorder="1" applyFont="1" applyNumberFormat="1">
      <alignment horizontal="left" shrinkToFit="0" vertical="center" wrapText="1"/>
    </xf>
    <xf borderId="19" fillId="9" fontId="6" numFmtId="49" xfId="0" applyAlignment="1" applyBorder="1" applyFont="1" applyNumberFormat="1">
      <alignment shrinkToFit="0" vertical="center" wrapText="1"/>
    </xf>
    <xf borderId="12" fillId="2" fontId="6" numFmtId="49" xfId="0" applyAlignment="1" applyBorder="1" applyFont="1" applyNumberFormat="1">
      <alignment horizontal="left" readingOrder="0" shrinkToFit="0" vertical="center" wrapText="0"/>
    </xf>
    <xf borderId="19" fillId="5" fontId="20" numFmtId="49" xfId="0" applyAlignment="1" applyBorder="1" applyFont="1" applyNumberFormat="1">
      <alignment horizontal="left" shrinkToFit="0" vertical="center" wrapText="1"/>
    </xf>
    <xf borderId="12" fillId="2" fontId="6" numFmtId="0" xfId="0" applyAlignment="1" applyBorder="1" applyFont="1">
      <alignment horizontal="left" readingOrder="0" shrinkToFit="0" vertical="center" wrapText="1"/>
    </xf>
    <xf borderId="12" fillId="2" fontId="26" numFmtId="49" xfId="0" applyAlignment="1" applyBorder="1" applyFont="1" applyNumberFormat="1">
      <alignment horizontal="left" shrinkToFit="0" vertical="center" wrapText="1"/>
    </xf>
    <xf borderId="19" fillId="2" fontId="3" numFmtId="1" xfId="0" applyAlignment="1" applyBorder="1" applyFont="1" applyNumberFormat="1">
      <alignment readingOrder="0" shrinkToFit="0" vertical="center" wrapText="1"/>
    </xf>
    <xf borderId="19" fillId="2" fontId="6" numFmtId="0" xfId="0" applyAlignment="1" applyBorder="1" applyFont="1">
      <alignment horizontal="left" readingOrder="0" shrinkToFit="0" vertical="center" wrapText="1"/>
    </xf>
    <xf borderId="19" fillId="2" fontId="27" numFmtId="49" xfId="0" applyAlignment="1" applyBorder="1" applyFont="1" applyNumberFormat="1">
      <alignment shrinkToFit="0" vertical="center" wrapText="1"/>
    </xf>
    <xf borderId="19" fillId="2" fontId="28" numFmtId="49" xfId="0" applyAlignment="1" applyBorder="1" applyFont="1" applyNumberFormat="1">
      <alignment horizontal="left" readingOrder="0" shrinkToFit="0" vertical="center" wrapText="1"/>
    </xf>
    <xf borderId="12" fillId="2" fontId="3" numFmtId="49" xfId="0" applyAlignment="1" applyBorder="1" applyFont="1" applyNumberFormat="1">
      <alignment shrinkToFit="0" vertical="center" wrapText="1"/>
    </xf>
    <xf borderId="19" fillId="2" fontId="6" numFmtId="49" xfId="0" applyAlignment="1" applyBorder="1" applyFont="1" applyNumberFormat="1">
      <alignment horizontal="left" readingOrder="0" shrinkToFit="0" vertical="center" wrapText="1"/>
    </xf>
    <xf borderId="19" fillId="2" fontId="6" numFmtId="0" xfId="0" applyAlignment="1" applyBorder="1" applyFont="1">
      <alignment horizontal="left" shrinkToFit="0" vertical="center" wrapText="1"/>
    </xf>
    <xf borderId="6" fillId="2" fontId="3" numFmtId="0" xfId="0" applyAlignment="1" applyBorder="1" applyFont="1">
      <alignment shrinkToFit="0" vertical="top" wrapText="1"/>
    </xf>
    <xf borderId="8" fillId="2" fontId="3" numFmtId="0" xfId="0" applyAlignment="1" applyBorder="1" applyFont="1">
      <alignment shrinkToFit="0" vertical="top" wrapText="1"/>
    </xf>
    <xf borderId="19" fillId="2" fontId="3" numFmtId="0" xfId="0" applyAlignment="1" applyBorder="1" applyFont="1">
      <alignment readingOrder="0" shrinkToFit="0" vertical="center" wrapText="1"/>
    </xf>
    <xf borderId="19" fillId="2" fontId="29" numFmtId="1" xfId="0" applyAlignment="1" applyBorder="1" applyFont="1" applyNumberFormat="1">
      <alignment readingOrder="0" shrinkToFit="0" vertical="center" wrapText="1"/>
    </xf>
    <xf borderId="19" fillId="2" fontId="30" numFmtId="0" xfId="0" applyAlignment="1" applyBorder="1" applyFont="1">
      <alignment readingOrder="0" shrinkToFit="0" vertical="center" wrapText="1"/>
    </xf>
    <xf borderId="0" fillId="2" fontId="31" numFmtId="1" xfId="0" applyAlignment="1" applyFont="1" applyNumberFormat="1">
      <alignment horizontal="left" readingOrder="0" shrinkToFit="0" vertical="top" wrapText="1"/>
    </xf>
    <xf borderId="19" fillId="2" fontId="32" numFmtId="1" xfId="0" applyAlignment="1" applyBorder="1" applyFont="1" applyNumberFormat="1">
      <alignment readingOrder="0" shrinkToFit="0" vertical="center" wrapText="1"/>
    </xf>
    <xf borderId="19" fillId="2" fontId="6" numFmtId="0" xfId="0" applyAlignment="1" applyBorder="1" applyFont="1">
      <alignment horizontal="center" readingOrder="0" shrinkToFit="0" vertical="center" wrapText="0"/>
    </xf>
    <xf borderId="12" fillId="2" fontId="6" numFmtId="0" xfId="0" applyAlignment="1" applyBorder="1" applyFont="1">
      <alignment horizontal="left" readingOrder="0" shrinkToFit="0" vertical="center" wrapText="1"/>
    </xf>
    <xf borderId="12" fillId="2" fontId="3" numFmtId="1" xfId="0" applyAlignment="1" applyBorder="1" applyFont="1" applyNumberFormat="1">
      <alignment readingOrder="0" shrinkToFit="0" vertical="center" wrapText="1"/>
    </xf>
    <xf borderId="19" fillId="2" fontId="6" numFmtId="0" xfId="0" applyAlignment="1" applyBorder="1" applyFont="1">
      <alignment horizontal="left" readingOrder="0" shrinkToFit="0" vertical="center" wrapText="1"/>
    </xf>
    <xf borderId="12" fillId="2" fontId="3" numFmtId="0" xfId="0" applyAlignment="1" applyBorder="1" applyFont="1">
      <alignment readingOrder="0" shrinkToFit="0" vertical="center" wrapText="1"/>
    </xf>
    <xf borderId="12" fillId="2" fontId="6" numFmtId="0" xfId="0" applyAlignment="1" applyBorder="1" applyFont="1">
      <alignment horizontal="left" shrinkToFit="0" vertical="center" wrapText="1"/>
    </xf>
    <xf borderId="19" fillId="2" fontId="3" numFmtId="0" xfId="0" applyAlignment="1" applyBorder="1" applyFont="1">
      <alignment readingOrder="0" shrinkToFit="0" vertical="center" wrapText="1"/>
    </xf>
    <xf borderId="14" fillId="2" fontId="3" numFmtId="0" xfId="0" applyAlignment="1" applyBorder="1" applyFont="1">
      <alignment shrinkToFit="0" vertical="top" wrapText="1"/>
    </xf>
    <xf borderId="15" fillId="2" fontId="3" numFmtId="0" xfId="0" applyAlignment="1" applyBorder="1" applyFont="1">
      <alignment shrinkToFit="0" vertical="top" wrapText="1"/>
    </xf>
    <xf borderId="12" fillId="10" fontId="5" numFmtId="49" xfId="0" applyAlignment="1" applyBorder="1" applyFill="1" applyFont="1" applyNumberFormat="1">
      <alignment horizontal="left" shrinkToFit="0" vertical="center" wrapText="1"/>
    </xf>
    <xf borderId="19" fillId="2" fontId="3" numFmtId="0" xfId="0" applyAlignment="1" applyBorder="1" applyFont="1">
      <alignment shrinkToFit="0" vertical="bottom" wrapText="0"/>
    </xf>
    <xf borderId="19" fillId="5" fontId="4" numFmtId="0" xfId="0" applyAlignment="1" applyBorder="1" applyFont="1">
      <alignment horizontal="left" shrinkToFit="0" vertical="center" wrapText="1"/>
    </xf>
    <xf borderId="19" fillId="2" fontId="6" numFmtId="0" xfId="0" applyAlignment="1" applyBorder="1" applyFont="1">
      <alignment shrinkToFit="0" vertical="bottom" wrapText="0"/>
    </xf>
    <xf borderId="6" fillId="2" fontId="33" numFmtId="0" xfId="0" applyAlignment="1" applyBorder="1" applyFont="1">
      <alignment shrinkToFit="0" vertical="bottom" wrapText="0"/>
    </xf>
    <xf borderId="8" fillId="2" fontId="33" numFmtId="0" xfId="0" applyAlignment="1" applyBorder="1" applyFont="1">
      <alignment shrinkToFit="0" vertical="bottom" wrapText="0"/>
    </xf>
    <xf borderId="19" fillId="5" fontId="13" numFmtId="0" xfId="0" applyAlignment="1" applyBorder="1" applyFont="1">
      <alignment horizontal="left" shrinkToFit="0" vertical="center" wrapText="1"/>
    </xf>
    <xf borderId="19" fillId="5" fontId="13" numFmtId="49" xfId="0" applyAlignment="1" applyBorder="1" applyFont="1" applyNumberFormat="1">
      <alignment horizontal="center" shrinkToFit="0" vertical="center" wrapText="1"/>
    </xf>
    <xf borderId="19" fillId="5" fontId="13" numFmtId="0" xfId="0" applyAlignment="1" applyBorder="1" applyFont="1">
      <alignment horizontal="center" shrinkToFit="0" vertical="center" wrapText="1"/>
    </xf>
    <xf borderId="6" fillId="5" fontId="33" numFmtId="0" xfId="0" applyAlignment="1" applyBorder="1" applyFont="1">
      <alignment shrinkToFit="0" vertical="bottom" wrapText="0"/>
    </xf>
    <xf borderId="8" fillId="5" fontId="33" numFmtId="0" xfId="0" applyAlignment="1" applyBorder="1" applyFont="1">
      <alignment shrinkToFit="0" vertical="bottom" wrapText="0"/>
    </xf>
    <xf borderId="19" fillId="2" fontId="6" numFmtId="49" xfId="0" applyAlignment="1" applyBorder="1" applyFont="1" applyNumberFormat="1">
      <alignment horizontal="center" shrinkToFit="0" vertical="center" wrapText="1"/>
    </xf>
    <xf borderId="19" fillId="7" fontId="6" numFmtId="49" xfId="0" applyAlignment="1" applyBorder="1" applyFont="1" applyNumberFormat="1">
      <alignment horizontal="center" shrinkToFit="0" vertical="center" wrapText="1"/>
    </xf>
    <xf borderId="19" fillId="7" fontId="3" numFmtId="49" xfId="0" applyAlignment="1" applyBorder="1" applyFont="1" applyNumberFormat="1">
      <alignment shrinkToFit="0" vertical="center" wrapText="1"/>
    </xf>
    <xf borderId="19" fillId="7" fontId="3" numFmtId="0" xfId="0" applyAlignment="1" applyBorder="1" applyFont="1">
      <alignment shrinkToFit="0" vertical="center" wrapText="1"/>
    </xf>
    <xf borderId="19" fillId="2" fontId="6" numFmtId="0" xfId="0" applyAlignment="1" applyBorder="1" applyFont="1">
      <alignment horizontal="center" shrinkToFit="0" vertical="center" wrapText="1"/>
    </xf>
    <xf borderId="19" fillId="2" fontId="6" numFmtId="49" xfId="0" applyAlignment="1" applyBorder="1" applyFont="1" applyNumberFormat="1">
      <alignment horizontal="center" shrinkToFit="0" vertical="bottom" wrapText="1"/>
    </xf>
    <xf borderId="19" fillId="7" fontId="6" numFmtId="0" xfId="0" applyAlignment="1" applyBorder="1" applyFont="1">
      <alignment horizontal="center" shrinkToFit="0" vertical="center" wrapText="1"/>
    </xf>
    <xf borderId="19" fillId="2" fontId="6" numFmtId="0" xfId="0" applyAlignment="1" applyBorder="1" applyFont="1">
      <alignment horizontal="center" shrinkToFit="0" vertical="bottom" wrapText="1"/>
    </xf>
    <xf borderId="19" fillId="2" fontId="6" numFmtId="49" xfId="0" applyAlignment="1" applyBorder="1" applyFont="1" applyNumberFormat="1">
      <alignment horizontal="center" shrinkToFit="0" vertical="bottom" wrapText="0"/>
    </xf>
    <xf borderId="19" fillId="7" fontId="6" numFmtId="49" xfId="0" applyAlignment="1" applyBorder="1" applyFont="1" applyNumberFormat="1">
      <alignment horizontal="left" shrinkToFit="0" vertical="center" wrapText="1"/>
    </xf>
    <xf borderId="19" fillId="7" fontId="6" numFmtId="49" xfId="0" applyAlignment="1" applyBorder="1" applyFont="1" applyNumberFormat="1">
      <alignment shrinkToFit="0" vertical="center" wrapText="1"/>
    </xf>
    <xf borderId="19" fillId="7" fontId="6" numFmtId="0" xfId="0" applyAlignment="1" applyBorder="1" applyFont="1">
      <alignment shrinkToFit="0" vertical="center" wrapText="1"/>
    </xf>
    <xf borderId="24" fillId="0" fontId="3" numFmtId="0" xfId="0" applyAlignment="1" applyBorder="1" applyFont="1">
      <alignment shrinkToFit="0" vertical="top" wrapText="1"/>
    </xf>
    <xf borderId="25" fillId="2" fontId="3" numFmtId="0" xfId="0" applyAlignment="1" applyBorder="1" applyFont="1">
      <alignment shrinkToFit="0" vertical="bottom" wrapText="0"/>
    </xf>
    <xf borderId="25" fillId="2" fontId="3" numFmtId="0" xfId="0" applyAlignment="1" applyBorder="1" applyFont="1">
      <alignment shrinkToFit="0" vertical="center" wrapText="0"/>
    </xf>
    <xf borderId="25" fillId="2" fontId="3" numFmtId="0" xfId="0" applyAlignment="1" applyBorder="1" applyFont="1">
      <alignment shrinkToFit="0" vertical="bottom" wrapText="1"/>
    </xf>
    <xf borderId="26" fillId="0" fontId="3" numFmtId="0" xfId="0" applyAlignment="1" applyBorder="1" applyFont="1">
      <alignment shrinkToFit="0" vertical="top" wrapText="1"/>
    </xf>
    <xf borderId="27" fillId="2" fontId="3" numFmtId="0" xfId="0" applyAlignment="1" applyBorder="1" applyFont="1">
      <alignment shrinkToFit="0" vertical="bottom" wrapText="0"/>
    </xf>
    <xf borderId="8" fillId="2" fontId="3" numFmtId="0" xfId="0" applyAlignment="1" applyBorder="1" applyFont="1">
      <alignment shrinkToFit="0" vertical="center" wrapText="0"/>
    </xf>
    <xf borderId="8" fillId="2" fontId="3" numFmtId="0" xfId="0" applyAlignment="1" applyBorder="1" applyFont="1">
      <alignment shrinkToFit="0" vertical="bottom" wrapText="1"/>
    </xf>
    <xf borderId="19" fillId="0" fontId="3" numFmtId="49" xfId="0" applyAlignment="1" applyBorder="1" applyFont="1" applyNumberFormat="1">
      <alignment shrinkToFit="0" vertical="top" wrapText="1"/>
    </xf>
    <xf borderId="6" fillId="2" fontId="3" numFmtId="0" xfId="0" applyAlignment="1" applyBorder="1" applyFont="1">
      <alignment shrinkToFit="0" vertical="center" wrapText="0"/>
    </xf>
    <xf borderId="14" fillId="2" fontId="3" numFmtId="0" xfId="0" applyAlignment="1" applyBorder="1" applyFont="1">
      <alignment shrinkToFit="0" vertical="center" wrapText="0"/>
    </xf>
    <xf borderId="15" fillId="2" fontId="3" numFmtId="0" xfId="0" applyAlignment="1" applyBorder="1" applyFont="1">
      <alignment shrinkToFit="0" vertical="bottom" wrapText="1"/>
    </xf>
    <xf borderId="15" fillId="2" fontId="3" numFmtId="0" xfId="0" applyAlignment="1" applyBorder="1" applyFont="1">
      <alignment shrinkToFit="0" vertical="center" wrapText="0"/>
    </xf>
    <xf borderId="12" fillId="11" fontId="5" numFmtId="49" xfId="0" applyAlignment="1" applyBorder="1" applyFill="1" applyFont="1" applyNumberFormat="1">
      <alignment horizontal="left" shrinkToFit="0" vertical="center" wrapText="1"/>
    </xf>
    <xf borderId="28" fillId="0" fontId="2" numFmtId="0" xfId="0" applyAlignment="1" applyBorder="1" applyFont="1">
      <alignment shrinkToFit="0" vertical="top" wrapText="1"/>
    </xf>
    <xf borderId="29" fillId="11" fontId="7" numFmtId="49" xfId="0" applyAlignment="1" applyBorder="1" applyFont="1" applyNumberFormat="1">
      <alignment horizontal="center" shrinkToFit="0" vertical="center" wrapText="1"/>
    </xf>
    <xf borderId="1" fillId="4" fontId="13" numFmtId="49" xfId="0" applyAlignment="1" applyBorder="1" applyFont="1" applyNumberFormat="1">
      <alignment horizontal="left" shrinkToFit="0" vertical="center" wrapText="1"/>
    </xf>
    <xf borderId="30" fillId="0" fontId="2" numFmtId="0" xfId="0" applyAlignment="1" applyBorder="1" applyFont="1">
      <alignment shrinkToFit="0" vertical="top" wrapText="1"/>
    </xf>
    <xf borderId="31" fillId="0" fontId="2" numFmtId="0" xfId="0" applyAlignment="1" applyBorder="1" applyFont="1">
      <alignment shrinkToFit="0" vertical="top" wrapText="1"/>
    </xf>
    <xf borderId="32" fillId="7" fontId="3" numFmtId="49" xfId="0" applyAlignment="1" applyBorder="1" applyFont="1" applyNumberFormat="1">
      <alignment horizontal="left" shrinkToFit="0" vertical="center" wrapText="1"/>
    </xf>
    <xf borderId="33" fillId="0" fontId="2" numFmtId="0" xfId="0" applyAlignment="1" applyBorder="1" applyFont="1">
      <alignment shrinkToFit="0" vertical="top" wrapText="1"/>
    </xf>
    <xf borderId="34" fillId="0" fontId="2" numFmtId="0" xfId="0" applyAlignment="1" applyBorder="1" applyFont="1">
      <alignment shrinkToFit="0" vertical="top" wrapText="1"/>
    </xf>
    <xf borderId="19" fillId="2" fontId="8" numFmtId="49" xfId="0" applyAlignment="1" applyBorder="1" applyFont="1" applyNumberFormat="1">
      <alignment shrinkToFit="0" vertical="top" wrapText="1"/>
    </xf>
    <xf borderId="12" fillId="2" fontId="3" numFmtId="49" xfId="0" applyAlignment="1" applyBorder="1" applyFont="1" applyNumberFormat="1">
      <alignment shrinkToFit="0" vertical="top" wrapText="1"/>
    </xf>
    <xf borderId="35" fillId="2" fontId="8" numFmtId="0" xfId="0" applyAlignment="1" applyBorder="1" applyFont="1">
      <alignment shrinkToFit="0" vertical="top" wrapText="1"/>
    </xf>
    <xf borderId="12" fillId="2" fontId="6" numFmtId="49" xfId="0" applyAlignment="1" applyBorder="1" applyFont="1" applyNumberFormat="1">
      <alignment horizontal="left" shrinkToFit="0" vertical="center" wrapText="0"/>
    </xf>
    <xf borderId="12" fillId="2" fontId="6" numFmtId="49" xfId="0" applyAlignment="1" applyBorder="1" applyFont="1" applyNumberFormat="1">
      <alignment horizontal="left" shrinkToFit="0" vertical="top" wrapText="1"/>
    </xf>
    <xf borderId="36" fillId="2" fontId="8" numFmtId="0" xfId="0" applyAlignment="1" applyBorder="1" applyFont="1">
      <alignment shrinkToFit="0" vertical="top" wrapText="1"/>
    </xf>
    <xf borderId="36" fillId="2" fontId="3" numFmtId="0" xfId="0" applyAlignment="1" applyBorder="1" applyFont="1">
      <alignment shrinkToFit="0" vertical="top" wrapText="1"/>
    </xf>
    <xf borderId="12" fillId="2" fontId="34" numFmtId="49" xfId="0" applyAlignment="1" applyBorder="1" applyFont="1" applyNumberFormat="1">
      <alignment horizontal="left" shrinkToFit="0" vertical="top" wrapText="1"/>
    </xf>
    <xf borderId="37" fillId="2" fontId="8" numFmtId="0" xfId="0" applyAlignment="1" applyBorder="1" applyFont="1">
      <alignment shrinkToFit="0" vertical="top" wrapText="1"/>
    </xf>
    <xf borderId="12" fillId="2" fontId="6" numFmtId="164" xfId="0" applyAlignment="1" applyBorder="1" applyFont="1" applyNumberFormat="1">
      <alignment horizontal="left" shrinkToFit="0" vertical="center" wrapText="0"/>
    </xf>
    <xf borderId="19" fillId="2" fontId="8" numFmtId="0" xfId="0" applyAlignment="1" applyBorder="1" applyFont="1">
      <alignment shrinkToFit="0" vertical="top" wrapText="1"/>
    </xf>
    <xf borderId="19" fillId="2" fontId="6" numFmtId="0" xfId="0" applyAlignment="1" applyBorder="1" applyFont="1">
      <alignment horizontal="left" shrinkToFit="0" vertical="top" wrapText="1"/>
    </xf>
    <xf borderId="38" fillId="2" fontId="8" numFmtId="0" xfId="0" applyAlignment="1" applyBorder="1" applyFont="1">
      <alignment shrinkToFit="0" vertical="top" wrapText="1"/>
    </xf>
    <xf borderId="39" fillId="2" fontId="8" numFmtId="0" xfId="0" applyAlignment="1" applyBorder="1" applyFont="1">
      <alignment shrinkToFit="0" vertical="top" wrapText="1"/>
    </xf>
    <xf borderId="39" fillId="2" fontId="6" numFmtId="0" xfId="0" applyAlignment="1" applyBorder="1" applyFont="1">
      <alignment horizontal="left" shrinkToFit="0" vertical="center" wrapText="0"/>
    </xf>
    <xf borderId="40" fillId="2" fontId="6" numFmtId="0" xfId="0" applyAlignment="1" applyBorder="1" applyFont="1">
      <alignment horizontal="left" shrinkToFit="0" vertical="center" wrapText="0"/>
    </xf>
    <xf borderId="19" fillId="12" fontId="8" numFmtId="49" xfId="0" applyAlignment="1" applyBorder="1" applyFill="1" applyFont="1" applyNumberFormat="1">
      <alignment shrinkToFit="0" vertical="center" wrapText="1"/>
    </xf>
    <xf borderId="12" fillId="2" fontId="8" numFmtId="0" xfId="0" applyAlignment="1" applyBorder="1" applyFont="1">
      <alignment horizontal="center" shrinkToFit="0" vertical="top" wrapText="1"/>
    </xf>
    <xf borderId="20" fillId="2" fontId="35" numFmtId="0" xfId="0" applyAlignment="1" applyBorder="1" applyFont="1">
      <alignment horizontal="center" shrinkToFit="0" vertical="top" wrapText="1"/>
    </xf>
    <xf borderId="39" fillId="2" fontId="3" numFmtId="0" xfId="0" applyAlignment="1" applyBorder="1" applyFont="1">
      <alignment shrinkToFit="0" vertical="top" wrapText="1"/>
    </xf>
    <xf borderId="22" fillId="2" fontId="3" numFmtId="0" xfId="0" applyAlignment="1" applyBorder="1" applyFont="1">
      <alignment shrinkToFit="0" vertical="top" wrapText="1"/>
    </xf>
    <xf borderId="18" fillId="2" fontId="3" numFmtId="0" xfId="0" applyAlignment="1" applyBorder="1" applyFont="1">
      <alignment shrinkToFit="0" vertical="top" wrapText="1"/>
    </xf>
    <xf borderId="41" fillId="2" fontId="3" numFmtId="0" xfId="0" applyAlignment="1" applyBorder="1" applyFont="1">
      <alignment shrinkToFit="0" vertical="top" wrapText="1"/>
    </xf>
    <xf borderId="19" fillId="5" fontId="8" numFmtId="49" xfId="0" applyAlignment="1" applyBorder="1" applyFont="1" applyNumberFormat="1">
      <alignment horizontal="center" shrinkToFit="0" vertical="center" wrapText="1"/>
    </xf>
    <xf borderId="17" fillId="2" fontId="3" numFmtId="0" xfId="0" applyAlignment="1" applyBorder="1" applyFont="1">
      <alignment shrinkToFit="0" vertical="top" wrapText="1"/>
    </xf>
    <xf borderId="19" fillId="2" fontId="6" numFmtId="49" xfId="0" applyAlignment="1" applyBorder="1" applyFont="1" applyNumberFormat="1">
      <alignment shrinkToFit="0" vertical="bottom" wrapText="1"/>
    </xf>
    <xf borderId="19" fillId="2" fontId="6" numFmtId="9" xfId="0" applyAlignment="1" applyBorder="1" applyFont="1" applyNumberFormat="1">
      <alignment horizontal="center" shrinkToFit="0" vertical="bottom" wrapText="1"/>
    </xf>
    <xf borderId="19" fillId="5" fontId="8" numFmtId="0" xfId="0" applyAlignment="1" applyBorder="1" applyFont="1">
      <alignment horizontal="center" shrinkToFit="0" vertical="center" wrapText="1"/>
    </xf>
    <xf borderId="19" fillId="5" fontId="8" numFmtId="9" xfId="0" applyAlignment="1" applyBorder="1" applyFont="1" applyNumberFormat="1">
      <alignment horizontal="center" shrinkToFit="0" vertical="center" wrapText="1"/>
    </xf>
    <xf borderId="42" fillId="2" fontId="3" numFmtId="0" xfId="0" applyAlignment="1" applyBorder="1" applyFont="1">
      <alignment shrinkToFit="0" vertical="top" wrapText="1"/>
    </xf>
    <xf borderId="12" fillId="5" fontId="11" numFmtId="49" xfId="0" applyAlignment="1" applyBorder="1" applyFont="1" applyNumberFormat="1">
      <alignment horizontal="left" shrinkToFit="0" vertical="center" wrapText="1"/>
    </xf>
    <xf borderId="19" fillId="2" fontId="3" numFmtId="49" xfId="0" applyAlignment="1" applyBorder="1" applyFont="1" applyNumberFormat="1">
      <alignment shrinkToFit="0" vertical="top" wrapText="1"/>
    </xf>
    <xf borderId="22" fillId="2" fontId="3" numFmtId="49" xfId="0" applyAlignment="1" applyBorder="1" applyFont="1" applyNumberFormat="1">
      <alignment shrinkToFit="0" vertical="top" wrapText="1"/>
    </xf>
    <xf borderId="43" fillId="2" fontId="3" numFmtId="49" xfId="0" applyAlignment="1" applyBorder="1" applyFont="1" applyNumberFormat="1">
      <alignment shrinkToFit="0" vertical="top" wrapText="1"/>
    </xf>
    <xf borderId="44" fillId="0" fontId="2" numFmtId="0" xfId="0" applyAlignment="1" applyBorder="1" applyFont="1">
      <alignment shrinkToFit="0" vertical="top" wrapText="1"/>
    </xf>
    <xf borderId="43" fillId="2" fontId="3" numFmtId="49" xfId="0" applyAlignment="1" applyBorder="1" applyFont="1" applyNumberFormat="1">
      <alignment horizontal="left" shrinkToFit="0" vertical="top" wrapText="1"/>
    </xf>
    <xf borderId="45" fillId="0" fontId="2" numFmtId="0" xfId="0" applyAlignment="1" applyBorder="1" applyFont="1">
      <alignment shrinkToFit="0" vertical="top" wrapText="1"/>
    </xf>
    <xf borderId="18" fillId="2" fontId="20" numFmtId="49" xfId="0" applyAlignment="1" applyBorder="1" applyFont="1" applyNumberFormat="1">
      <alignment shrinkToFit="0" vertical="top" wrapText="1"/>
    </xf>
    <xf borderId="18" fillId="2" fontId="3" numFmtId="49" xfId="0" applyAlignment="1" applyBorder="1" applyFont="1" applyNumberFormat="1">
      <alignment shrinkToFit="0" vertical="top" wrapText="1"/>
    </xf>
    <xf borderId="46" fillId="2" fontId="3" numFmtId="49" xfId="0" applyAlignment="1" applyBorder="1" applyFont="1" applyNumberFormat="1">
      <alignment shrinkToFit="0" vertical="top" wrapText="1"/>
    </xf>
    <xf borderId="47" fillId="0" fontId="2" numFmtId="0" xfId="0" applyAlignment="1" applyBorder="1" applyFont="1">
      <alignment shrinkToFit="0" vertical="top" wrapText="1"/>
    </xf>
    <xf borderId="46" fillId="2" fontId="3" numFmtId="49" xfId="0" applyAlignment="1" applyBorder="1" applyFont="1" applyNumberFormat="1">
      <alignment horizontal="left" shrinkToFit="0" vertical="top" wrapText="1"/>
    </xf>
    <xf borderId="48" fillId="0" fontId="2" numFmtId="0" xfId="0" applyAlignment="1" applyBorder="1" applyFont="1">
      <alignment shrinkToFit="0" vertical="top" wrapText="1"/>
    </xf>
    <xf borderId="46" fillId="2" fontId="3" numFmtId="0" xfId="0" applyAlignment="1" applyBorder="1" applyFont="1">
      <alignment horizontal="left" shrinkToFit="0" vertical="top" wrapText="1"/>
    </xf>
    <xf borderId="46" fillId="2" fontId="36" numFmtId="49" xfId="0" applyAlignment="1" applyBorder="1" applyFont="1" applyNumberFormat="1">
      <alignment horizontal="left" shrinkToFit="0" vertical="top" wrapText="1"/>
    </xf>
    <xf borderId="49" fillId="2" fontId="3" numFmtId="49" xfId="0" applyAlignment="1" applyBorder="1" applyFont="1" applyNumberFormat="1">
      <alignment shrinkToFit="0" vertical="top" wrapText="1"/>
    </xf>
    <xf borderId="50" fillId="2" fontId="3" numFmtId="49" xfId="0" applyAlignment="1" applyBorder="1" applyFont="1" applyNumberFormat="1">
      <alignment horizontal="left" shrinkToFit="0" vertical="top" wrapText="1"/>
    </xf>
    <xf borderId="51" fillId="0" fontId="2" numFmtId="0" xfId="0" applyAlignment="1" applyBorder="1" applyFont="1">
      <alignment shrinkToFit="0" vertical="top" wrapText="1"/>
    </xf>
    <xf borderId="50" fillId="2" fontId="3" numFmtId="0" xfId="0" applyAlignment="1" applyBorder="1" applyFont="1">
      <alignment horizontal="left" shrinkToFit="0" vertical="top" wrapText="1"/>
    </xf>
    <xf borderId="52" fillId="0" fontId="2" numFmtId="0" xfId="0" applyAlignment="1" applyBorder="1" applyFont="1">
      <alignment shrinkToFit="0" vertical="top" wrapText="1"/>
    </xf>
    <xf borderId="49" fillId="2" fontId="3" numFmtId="0" xfId="0" applyAlignment="1" applyBorder="1" applyFont="1">
      <alignment shrinkToFit="0" vertical="top" wrapText="1"/>
    </xf>
    <xf borderId="53" fillId="4" fontId="15" numFmtId="49" xfId="0" applyAlignment="1" applyBorder="1" applyFont="1" applyNumberFormat="1">
      <alignment shrinkToFit="0" vertical="top" wrapText="1"/>
    </xf>
    <xf borderId="8" fillId="4" fontId="15" numFmtId="49" xfId="0" applyAlignment="1" applyBorder="1" applyFont="1" applyNumberFormat="1">
      <alignment horizontal="left" shrinkToFit="0" vertical="top" wrapText="1"/>
    </xf>
    <xf borderId="8" fillId="4" fontId="3" numFmtId="0" xfId="0" applyAlignment="1" applyBorder="1" applyFont="1">
      <alignment horizontal="left" shrinkToFit="0" vertical="top" wrapText="1"/>
    </xf>
    <xf borderId="8" fillId="4" fontId="15" numFmtId="49" xfId="0" applyAlignment="1" applyBorder="1" applyFont="1" applyNumberFormat="1">
      <alignment shrinkToFit="0" vertical="top" wrapText="1"/>
    </xf>
    <xf borderId="54" fillId="2" fontId="3" numFmtId="0" xfId="0" applyAlignment="1" applyBorder="1" applyFont="1">
      <alignment shrinkToFit="0" vertical="top" wrapText="1"/>
    </xf>
    <xf borderId="55" fillId="2" fontId="3" numFmtId="49" xfId="0" applyAlignment="1" applyBorder="1" applyFont="1" applyNumberFormat="1">
      <alignment shrinkToFit="0" vertical="top" wrapText="1"/>
    </xf>
    <xf borderId="56" fillId="2" fontId="3" numFmtId="49" xfId="0" applyAlignment="1" applyBorder="1" applyFont="1" applyNumberFormat="1">
      <alignment horizontal="left" shrinkToFit="0" vertical="top" wrapText="1"/>
    </xf>
    <xf borderId="57" fillId="0" fontId="2" numFmtId="0" xfId="0" applyAlignment="1" applyBorder="1" applyFont="1">
      <alignment shrinkToFit="0" vertical="top" wrapText="1"/>
    </xf>
    <xf borderId="56" fillId="2" fontId="3" numFmtId="0" xfId="0" applyAlignment="1" applyBorder="1" applyFont="1">
      <alignment horizontal="left" shrinkToFit="0" vertical="top" wrapText="1"/>
    </xf>
    <xf borderId="58" fillId="0" fontId="2" numFmtId="0" xfId="0" applyAlignment="1" applyBorder="1" applyFont="1">
      <alignment shrinkToFit="0" vertical="top" wrapText="1"/>
    </xf>
    <xf borderId="55" fillId="2" fontId="3" numFmtId="0" xfId="0" applyAlignment="1" applyBorder="1" applyFont="1">
      <alignment shrinkToFit="0" vertical="top" wrapText="1"/>
    </xf>
    <xf borderId="8" fillId="4" fontId="15" numFmtId="0" xfId="0" applyAlignment="1" applyBorder="1" applyFont="1">
      <alignment shrinkToFit="0" vertical="top" wrapText="1"/>
    </xf>
    <xf borderId="59" fillId="2" fontId="3" numFmtId="49" xfId="0" applyAlignment="1" applyBorder="1" applyFont="1" applyNumberFormat="1">
      <alignment shrinkToFit="0" vertical="top" wrapText="1"/>
    </xf>
    <xf borderId="60" fillId="2" fontId="3" numFmtId="49" xfId="0" applyAlignment="1" applyBorder="1" applyFont="1" applyNumberFormat="1">
      <alignment shrinkToFit="0" vertical="top" wrapText="1"/>
    </xf>
    <xf borderId="61" fillId="0" fontId="2" numFmtId="0" xfId="0" applyAlignment="1" applyBorder="1" applyFont="1">
      <alignment shrinkToFit="0" vertical="top" wrapText="1"/>
    </xf>
    <xf borderId="60" fillId="2" fontId="3" numFmtId="0" xfId="0" applyAlignment="1" applyBorder="1" applyFont="1">
      <alignment horizontal="left" shrinkToFit="0" vertical="top" wrapText="1"/>
    </xf>
    <xf borderId="62" fillId="0" fontId="2" numFmtId="0" xfId="0" applyAlignment="1" applyBorder="1" applyFont="1">
      <alignment shrinkToFit="0" vertical="top" wrapText="1"/>
    </xf>
    <xf borderId="59" fillId="2" fontId="3" numFmtId="0" xfId="0" applyAlignment="1" applyBorder="1" applyFont="1">
      <alignment shrinkToFit="0" vertical="top" wrapText="1"/>
    </xf>
    <xf borderId="18" fillId="2" fontId="20" numFmtId="0" xfId="0" applyAlignment="1" applyBorder="1" applyFont="1">
      <alignment shrinkToFit="0" vertical="top" wrapText="1"/>
    </xf>
    <xf borderId="50" fillId="2" fontId="3" numFmtId="49" xfId="0" applyAlignment="1" applyBorder="1" applyFont="1" applyNumberFormat="1">
      <alignment shrinkToFit="0" vertical="top" wrapText="1"/>
    </xf>
    <xf borderId="60" fillId="2" fontId="3" numFmtId="49" xfId="0" applyAlignment="1" applyBorder="1" applyFont="1" applyNumberFormat="1">
      <alignment horizontal="left" shrinkToFit="0" vertical="top" wrapText="1"/>
    </xf>
    <xf borderId="56" fillId="2" fontId="3" numFmtId="49" xfId="0" applyAlignment="1" applyBorder="1" applyFont="1" applyNumberFormat="1">
      <alignment shrinkToFit="0" vertical="top" wrapText="1"/>
    </xf>
    <xf borderId="50" fillId="2" fontId="3" numFmtId="1" xfId="0" applyAlignment="1" applyBorder="1" applyFont="1" applyNumberFormat="1">
      <alignment horizontal="left" shrinkToFit="0" vertical="top" wrapText="1"/>
    </xf>
    <xf borderId="17" fillId="2" fontId="3" numFmtId="0" xfId="0" applyAlignment="1" applyBorder="1" applyFont="1">
      <alignment shrinkToFit="0" vertical="bottom" wrapText="0"/>
    </xf>
    <xf borderId="18" fillId="2" fontId="3" numFmtId="0" xfId="0" applyAlignment="1" applyBorder="1" applyFont="1">
      <alignment shrinkToFit="0" vertical="bottom" wrapText="0"/>
    </xf>
    <xf borderId="19" fillId="2" fontId="6" numFmtId="0" xfId="0" applyAlignment="1" applyBorder="1" applyFont="1">
      <alignment shrinkToFit="0" vertical="center" wrapText="1"/>
    </xf>
    <xf borderId="19" fillId="2" fontId="11" numFmtId="0" xfId="0" applyAlignment="1" applyBorder="1" applyFont="1">
      <alignment shrinkToFit="0" vertical="center" wrapText="1"/>
    </xf>
    <xf borderId="19" fillId="2" fontId="12" numFmtId="165" xfId="0" applyAlignment="1" applyBorder="1" applyFont="1" applyNumberFormat="1">
      <alignment shrinkToFit="0" vertical="center" wrapText="1"/>
    </xf>
    <xf borderId="19" fillId="2" fontId="13" numFmtId="0" xfId="0" applyAlignment="1" applyBorder="1" applyFont="1">
      <alignment shrinkToFit="0" vertical="center" wrapText="1"/>
    </xf>
    <xf borderId="19" fillId="2" fontId="13" numFmtId="0" xfId="0" applyAlignment="1" applyBorder="1" applyFont="1">
      <alignment horizontal="center" shrinkToFit="0" vertical="center" wrapText="1"/>
    </xf>
    <xf borderId="19" fillId="2" fontId="13" numFmtId="1" xfId="0" applyAlignment="1" applyBorder="1" applyFont="1" applyNumberFormat="1">
      <alignment horizontal="left" shrinkToFit="0" vertical="center" wrapText="1"/>
    </xf>
    <xf borderId="19" fillId="2" fontId="15" numFmtId="0" xfId="0" applyAlignment="1" applyBorder="1" applyFont="1">
      <alignment shrinkToFit="0" vertical="center" wrapText="1"/>
    </xf>
    <xf borderId="19" fillId="2" fontId="16" numFmtId="0" xfId="0" applyAlignment="1" applyBorder="1" applyFont="1">
      <alignment shrinkToFit="0" vertical="center" wrapText="1"/>
    </xf>
    <xf borderId="19" fillId="2" fontId="6" numFmtId="49" xfId="0" applyAlignment="1" applyBorder="1" applyFont="1" applyNumberFormat="1">
      <alignment horizontal="left" shrinkToFit="0" vertical="center" wrapText="0"/>
    </xf>
    <xf borderId="19" fillId="2" fontId="6" numFmtId="49" xfId="0" applyAlignment="1" applyBorder="1" applyFont="1" applyNumberFormat="1">
      <alignment horizontal="left" shrinkToFit="0" vertical="bottom" wrapText="1"/>
    </xf>
    <xf borderId="17" fillId="2" fontId="6" numFmtId="0" xfId="0" applyAlignment="1" applyBorder="1" applyFont="1">
      <alignment horizontal="left" shrinkToFit="0" vertical="center" wrapText="0"/>
    </xf>
    <xf borderId="18" fillId="2" fontId="6" numFmtId="0" xfId="0" applyAlignment="1" applyBorder="1" applyFont="1">
      <alignment horizontal="left" shrinkToFit="0" vertical="center" wrapText="0"/>
    </xf>
    <xf borderId="12" fillId="13" fontId="5" numFmtId="49" xfId="0" applyAlignment="1" applyBorder="1" applyFill="1" applyFont="1" applyNumberFormat="1">
      <alignment horizontal="left" shrinkToFit="0" vertical="center" wrapText="1"/>
    </xf>
    <xf borderId="29" fillId="13" fontId="7" numFmtId="49" xfId="0" applyAlignment="1" applyBorder="1" applyFont="1" applyNumberFormat="1">
      <alignment horizontal="center" shrinkToFit="0" vertical="center" wrapText="1"/>
    </xf>
    <xf borderId="12" fillId="5" fontId="4" numFmtId="0" xfId="0" applyAlignment="1" applyBorder="1" applyFont="1">
      <alignment horizontal="center" shrinkToFit="0" vertical="center" wrapText="1"/>
    </xf>
    <xf borderId="19" fillId="2" fontId="8" numFmtId="49" xfId="0" applyAlignment="1" applyBorder="1" applyFont="1" applyNumberFormat="1">
      <alignment horizontal="left" shrinkToFit="0" vertical="top" wrapText="1"/>
    </xf>
    <xf borderId="63" fillId="2" fontId="6" numFmtId="0" xfId="0" applyAlignment="1" applyBorder="1" applyFont="1">
      <alignment shrinkToFit="0" vertical="top" wrapText="1"/>
    </xf>
    <xf borderId="22" fillId="2" fontId="6" numFmtId="0" xfId="0" applyAlignment="1" applyBorder="1" applyFont="1">
      <alignment shrinkToFit="0" vertical="top" wrapText="1"/>
    </xf>
    <xf borderId="64" fillId="2" fontId="6" numFmtId="0" xfId="0" applyAlignment="1" applyBorder="1" applyFont="1">
      <alignment shrinkToFit="0" vertical="top" wrapText="1"/>
    </xf>
    <xf borderId="12" fillId="2" fontId="6" numFmtId="49" xfId="0" applyAlignment="1" applyBorder="1" applyFont="1" applyNumberFormat="1">
      <alignment horizontal="center" shrinkToFit="0" vertical="center" wrapText="0"/>
    </xf>
    <xf borderId="17" fillId="2" fontId="6" numFmtId="0" xfId="0" applyAlignment="1" applyBorder="1" applyFont="1">
      <alignment shrinkToFit="0" vertical="top" wrapText="1"/>
    </xf>
    <xf borderId="18" fillId="2" fontId="6" numFmtId="0" xfId="0" applyAlignment="1" applyBorder="1" applyFont="1">
      <alignment shrinkToFit="0" vertical="top" wrapText="1"/>
    </xf>
    <xf borderId="41" fillId="2" fontId="6" numFmtId="0" xfId="0" applyAlignment="1" applyBorder="1" applyFont="1">
      <alignment shrinkToFit="0" vertical="top" wrapText="1"/>
    </xf>
    <xf borderId="19" fillId="2" fontId="6" numFmtId="9" xfId="0" applyAlignment="1" applyBorder="1" applyFont="1" applyNumberFormat="1">
      <alignment horizontal="center" shrinkToFit="0" vertical="center" wrapText="0"/>
    </xf>
    <xf borderId="19" fillId="2" fontId="8" numFmtId="49" xfId="0" applyAlignment="1" applyBorder="1" applyFont="1" applyNumberFormat="1">
      <alignment horizontal="center" shrinkToFit="0" vertical="center" wrapText="1"/>
    </xf>
    <xf borderId="65" fillId="2" fontId="3" numFmtId="0" xfId="0" applyAlignment="1" applyBorder="1" applyFont="1">
      <alignment shrinkToFit="0" vertical="top" wrapText="1"/>
    </xf>
    <xf borderId="66" fillId="2" fontId="3" numFmtId="0" xfId="0" applyAlignment="1" applyBorder="1" applyFont="1">
      <alignment shrinkToFit="0" vertical="top" wrapText="1"/>
    </xf>
    <xf borderId="12" fillId="7" fontId="37" numFmtId="49" xfId="0" applyAlignment="1" applyBorder="1" applyFont="1" applyNumberFormat="1">
      <alignment horizontal="left" shrinkToFit="0" vertical="center" wrapText="1"/>
    </xf>
    <xf borderId="12" fillId="2" fontId="3" numFmtId="0" xfId="0" applyAlignment="1" applyBorder="1" applyFont="1">
      <alignment horizontal="center" shrinkToFit="0" vertical="top" wrapText="1"/>
    </xf>
    <xf borderId="12" fillId="12" fontId="11" numFmtId="49" xfId="0" applyAlignment="1" applyBorder="1" applyFont="1" applyNumberFormat="1">
      <alignment horizontal="left" shrinkToFit="0" vertical="center" wrapText="0"/>
    </xf>
    <xf borderId="19" fillId="2" fontId="3" numFmtId="0" xfId="0" applyAlignment="1" applyBorder="1" applyFont="1">
      <alignment shrinkToFit="0" vertical="top" wrapText="1"/>
    </xf>
    <xf borderId="19" fillId="2" fontId="7" numFmtId="0" xfId="0" applyAlignment="1" applyBorder="1" applyFont="1">
      <alignment horizontal="center" shrinkToFit="0" vertical="top" wrapText="1"/>
    </xf>
    <xf borderId="19" fillId="2" fontId="6" numFmtId="49" xfId="0" applyAlignment="1" applyBorder="1" applyFont="1" applyNumberFormat="1">
      <alignment shrinkToFit="0" vertical="top" wrapText="1"/>
    </xf>
    <xf borderId="12" fillId="2" fontId="6" numFmtId="166" xfId="0" applyAlignment="1" applyBorder="1" applyFont="1" applyNumberFormat="1">
      <alignment horizontal="left" shrinkToFit="0" vertical="top" wrapText="1"/>
    </xf>
    <xf borderId="12" fillId="2" fontId="6" numFmtId="49" xfId="0" applyAlignment="1" applyBorder="1" applyFont="1" applyNumberFormat="1">
      <alignment horizontal="center" shrinkToFit="0" vertical="top" wrapText="1"/>
    </xf>
    <xf borderId="19" fillId="2" fontId="6" numFmtId="0" xfId="0" applyAlignment="1" applyBorder="1" applyFont="1">
      <alignment shrinkToFit="0" vertical="top" wrapText="1"/>
    </xf>
    <xf borderId="12" fillId="2" fontId="6" numFmtId="0" xfId="0" applyAlignment="1" applyBorder="1" applyFont="1">
      <alignment horizontal="left" shrinkToFit="0" vertical="top" wrapText="1"/>
    </xf>
    <xf borderId="19" fillId="2" fontId="6" numFmtId="166" xfId="0" applyAlignment="1" applyBorder="1" applyFont="1" applyNumberFormat="1">
      <alignment shrinkToFit="0" vertical="top" wrapText="1"/>
    </xf>
    <xf borderId="19" fillId="2" fontId="3" numFmtId="166" xfId="0" applyAlignment="1" applyBorder="1" applyFont="1" applyNumberFormat="1">
      <alignment shrinkToFit="0" vertical="top" wrapText="1"/>
    </xf>
    <xf borderId="12" fillId="2" fontId="3" numFmtId="166" xfId="0" applyAlignment="1" applyBorder="1" applyFont="1" applyNumberFormat="1">
      <alignment horizontal="left" shrinkToFit="0" vertical="top" wrapText="1"/>
    </xf>
    <xf borderId="67" fillId="2" fontId="38" numFmtId="49" xfId="0" applyAlignment="1" applyBorder="1" applyFont="1" applyNumberFormat="1">
      <alignment horizontal="center" shrinkToFit="0" vertical="center" wrapText="0"/>
    </xf>
    <xf borderId="67" fillId="2" fontId="38" numFmtId="49" xfId="0" applyAlignment="1" applyBorder="1" applyFont="1" applyNumberFormat="1">
      <alignment horizontal="left" shrinkToFit="0" vertical="center" wrapText="1"/>
    </xf>
    <xf borderId="68" fillId="0" fontId="3" numFmtId="0" xfId="0" applyAlignment="1" applyBorder="1" applyFont="1">
      <alignment shrinkToFit="0" vertical="top" wrapText="1"/>
    </xf>
    <xf borderId="69" fillId="2" fontId="38" numFmtId="49" xfId="0" applyAlignment="1" applyBorder="1" applyFont="1" applyNumberFormat="1">
      <alignment horizontal="center" shrinkToFit="0" vertical="center" wrapText="0"/>
    </xf>
    <xf borderId="40" fillId="2" fontId="6" numFmtId="49" xfId="0" applyAlignment="1" applyBorder="1" applyFont="1" applyNumberFormat="1">
      <alignment horizontal="center" shrinkToFit="0" vertical="center" wrapText="1"/>
    </xf>
    <xf borderId="70" fillId="2" fontId="6" numFmtId="49" xfId="0" applyAlignment="1" applyBorder="1" applyFont="1" applyNumberFormat="1">
      <alignment shrinkToFit="0" vertical="bottom" wrapText="0"/>
    </xf>
    <xf borderId="39" fillId="0" fontId="3" numFmtId="49" xfId="0" applyAlignment="1" applyBorder="1" applyFont="1" applyNumberFormat="1">
      <alignment shrinkToFit="0" vertical="top" wrapText="1"/>
    </xf>
    <xf borderId="18" fillId="2" fontId="6" numFmtId="49" xfId="0" applyAlignment="1" applyBorder="1" applyFont="1" applyNumberFormat="1">
      <alignment shrinkToFit="0" vertical="bottom" wrapText="0"/>
    </xf>
    <xf borderId="17" fillId="2" fontId="6" numFmtId="49" xfId="0" applyAlignment="1" applyBorder="1" applyFont="1" applyNumberFormat="1">
      <alignment shrinkToFit="0" vertical="bottom" wrapText="0"/>
    </xf>
    <xf borderId="22" fillId="0" fontId="3" numFmtId="49" xfId="0" applyAlignment="1" applyBorder="1" applyFont="1" applyNumberFormat="1">
      <alignment shrinkToFit="0" vertical="top" wrapText="1"/>
    </xf>
    <xf borderId="18" fillId="2" fontId="3" numFmtId="49" xfId="0" applyAlignment="1" applyBorder="1" applyFont="1" applyNumberFormat="1">
      <alignment shrinkToFit="0" vertical="top" wrapText="0"/>
    </xf>
    <xf borderId="18" fillId="0" fontId="3" numFmtId="49" xfId="0" applyAlignment="1" applyBorder="1" applyFont="1" applyNumberFormat="1">
      <alignment shrinkToFit="0" vertical="top" wrapText="1"/>
    </xf>
    <xf borderId="18" fillId="2" fontId="3" numFmtId="49" xfId="0" applyAlignment="1" applyBorder="1" applyFont="1" applyNumberFormat="1">
      <alignment shrinkToFit="0" vertical="bottom" wrapText="0"/>
    </xf>
    <xf borderId="42" fillId="0" fontId="3" numFmtId="49" xfId="0" applyAlignment="1" applyBorder="1" applyFont="1" applyNumberFormat="1">
      <alignment shrinkToFit="0" vertical="top" wrapText="1"/>
    </xf>
    <xf borderId="17" fillId="2" fontId="3" numFmtId="49" xfId="0" applyAlignment="1" applyBorder="1" applyFont="1" applyNumberFormat="1">
      <alignment shrinkToFit="0" vertical="top" wrapText="0"/>
    </xf>
    <xf borderId="71" fillId="2" fontId="6" numFmtId="49" xfId="0" applyAlignment="1" applyBorder="1" applyFont="1" applyNumberFormat="1">
      <alignment horizontal="center" shrinkToFit="0" vertical="center" wrapText="1"/>
    </xf>
    <xf borderId="72" fillId="2" fontId="3" numFmtId="49" xfId="0" applyAlignment="1" applyBorder="1" applyFont="1" applyNumberFormat="1">
      <alignment shrinkToFit="0" vertical="top" wrapText="0"/>
    </xf>
    <xf borderId="73" fillId="14" fontId="39" numFmtId="49" xfId="0" applyAlignment="1" applyBorder="1" applyFill="1" applyFont="1" applyNumberFormat="1">
      <alignment horizontal="center" shrinkToFit="0" vertical="top" wrapText="1"/>
    </xf>
    <xf borderId="73" fillId="14" fontId="39" numFmtId="49" xfId="0" applyAlignment="1" applyBorder="1" applyFont="1" applyNumberFormat="1">
      <alignment horizontal="left" shrinkToFit="0" vertical="top" wrapText="0"/>
    </xf>
    <xf borderId="74" fillId="0" fontId="3" numFmtId="0" xfId="0" applyAlignment="1" applyBorder="1" applyFont="1">
      <alignment shrinkToFit="0" vertical="top" wrapText="1"/>
    </xf>
    <xf borderId="75" fillId="14" fontId="39" numFmtId="49" xfId="0" applyAlignment="1" applyBorder="1" applyFont="1" applyNumberFormat="1">
      <alignment horizontal="center" shrinkToFit="0" vertical="top" wrapText="1"/>
    </xf>
    <xf borderId="76" fillId="14" fontId="39" numFmtId="49" xfId="0" applyAlignment="1" applyBorder="1" applyFont="1" applyNumberFormat="1">
      <alignment horizontal="left" shrinkToFit="0" vertical="top" wrapText="0"/>
    </xf>
    <xf borderId="47" fillId="0" fontId="3" numFmtId="0" xfId="0" applyAlignment="1" applyBorder="1" applyFont="1">
      <alignment shrinkToFit="0" vertical="top" wrapText="1"/>
    </xf>
    <xf borderId="73" fillId="14" fontId="40" numFmtId="49" xfId="0" applyAlignment="1" applyBorder="1" applyFont="1" applyNumberFormat="1">
      <alignment horizontal="left" shrinkToFit="0" vertical="top" wrapText="0"/>
    </xf>
    <xf borderId="77" fillId="14" fontId="39" numFmtId="49" xfId="0" applyAlignment="1" applyBorder="1" applyFont="1" applyNumberFormat="1">
      <alignment horizontal="center" shrinkToFit="0" vertical="top" wrapText="1"/>
    </xf>
    <xf borderId="71" fillId="2" fontId="39" numFmtId="49" xfId="0" applyAlignment="1" applyBorder="1" applyFont="1" applyNumberFormat="1">
      <alignment horizontal="center" shrinkToFit="0" vertical="center" wrapText="1"/>
    </xf>
    <xf borderId="78" fillId="2" fontId="39" numFmtId="49" xfId="0" applyAlignment="1" applyBorder="1" applyFont="1" applyNumberFormat="1">
      <alignment shrinkToFit="0" vertical="top" wrapText="0"/>
    </xf>
    <xf borderId="79" fillId="14" fontId="39" numFmtId="49" xfId="0" applyAlignment="1" applyBorder="1" applyFont="1" applyNumberFormat="1">
      <alignment horizontal="center" shrinkToFit="0" vertical="top" wrapText="1"/>
    </xf>
    <xf borderId="80" fillId="14" fontId="39" numFmtId="49" xfId="0" applyAlignment="1" applyBorder="1" applyFont="1" applyNumberFormat="1">
      <alignment horizontal="left" shrinkToFit="0" vertical="top" wrapText="0"/>
    </xf>
    <xf borderId="53" fillId="14" fontId="39" numFmtId="49" xfId="0" applyAlignment="1" applyBorder="1" applyFont="1" applyNumberFormat="1">
      <alignment horizontal="center" shrinkToFit="0" vertical="top" wrapText="1"/>
    </xf>
    <xf borderId="8" fillId="14" fontId="39" numFmtId="49" xfId="0" applyAlignment="1" applyBorder="1" applyFont="1" applyNumberFormat="1">
      <alignment horizontal="left" shrinkToFit="0" vertical="top" wrapText="0"/>
    </xf>
    <xf borderId="81" fillId="0" fontId="39" numFmtId="49" xfId="0" applyAlignment="1" applyBorder="1" applyFont="1" applyNumberFormat="1">
      <alignment shrinkToFit="0" vertical="top" wrapText="1"/>
    </xf>
    <xf borderId="59" fillId="2" fontId="39" numFmtId="49" xfId="0" applyAlignment="1" applyBorder="1" applyFont="1" applyNumberFormat="1">
      <alignment shrinkToFit="0" vertical="top" wrapText="0"/>
    </xf>
    <xf borderId="19" fillId="2" fontId="39" numFmtId="49" xfId="0" applyAlignment="1" applyBorder="1" applyFont="1" applyNumberFormat="1">
      <alignment horizontal="center" shrinkToFit="0" vertical="center" wrapText="1"/>
    </xf>
    <xf borderId="17" fillId="2" fontId="39" numFmtId="49" xfId="0" applyAlignment="1" applyBorder="1" applyFont="1" applyNumberFormat="1">
      <alignment shrinkToFit="0" vertical="top" wrapText="0"/>
    </xf>
    <xf borderId="39" fillId="0" fontId="39" numFmtId="49" xfId="0" applyAlignment="1" applyBorder="1" applyFont="1" applyNumberFormat="1">
      <alignment shrinkToFit="0" vertical="top" wrapText="1"/>
    </xf>
    <xf borderId="18" fillId="2" fontId="39" numFmtId="49" xfId="0" applyAlignment="1" applyBorder="1" applyFont="1" applyNumberFormat="1">
      <alignment shrinkToFit="0" vertical="top" wrapText="0"/>
    </xf>
    <xf borderId="22" fillId="0" fontId="39" numFmtId="49" xfId="0" applyAlignment="1" applyBorder="1" applyFont="1" applyNumberFormat="1">
      <alignment shrinkToFit="0" vertical="top" wrapText="1"/>
    </xf>
    <xf borderId="18" fillId="0" fontId="39" numFmtId="49" xfId="0" applyAlignment="1" applyBorder="1" applyFont="1" applyNumberFormat="1">
      <alignment shrinkToFit="0" vertical="top" wrapText="1"/>
    </xf>
    <xf borderId="18" fillId="0" fontId="39" numFmtId="49" xfId="0" applyAlignment="1" applyBorder="1" applyFont="1" applyNumberFormat="1">
      <alignment horizontal="left" shrinkToFit="0" vertical="top" wrapText="1"/>
    </xf>
    <xf borderId="18" fillId="0" fontId="39" numFmtId="0" xfId="0" applyAlignment="1" applyBorder="1" applyFont="1">
      <alignment horizontal="left" shrinkToFit="0" vertical="top" wrapText="1"/>
    </xf>
    <xf borderId="18" fillId="0" fontId="6" numFmtId="49" xfId="0" applyAlignment="1" applyBorder="1" applyFont="1" applyNumberFormat="1">
      <alignment shrinkToFit="0" vertical="top" wrapText="1"/>
    </xf>
    <xf borderId="18" fillId="0" fontId="41" numFmtId="49" xfId="0" applyAlignment="1" applyBorder="1" applyFont="1" applyNumberFormat="1">
      <alignment shrinkToFit="0" vertical="top" wrapText="1"/>
    </xf>
    <xf borderId="82" fillId="0" fontId="6" numFmtId="49" xfId="0" applyAlignment="1" applyBorder="1" applyFont="1" applyNumberFormat="1">
      <alignment shrinkToFit="0" vertical="top" wrapText="1"/>
    </xf>
    <xf borderId="83" fillId="2" fontId="6" numFmtId="49" xfId="0" applyAlignment="1" applyBorder="1" applyFont="1" applyNumberFormat="1">
      <alignment horizontal="center" shrinkToFit="0" vertical="center" wrapText="1"/>
    </xf>
    <xf borderId="84" fillId="2" fontId="39" numFmtId="49" xfId="0" applyAlignment="1" applyBorder="1" applyFont="1" applyNumberFormat="1">
      <alignment shrinkToFit="0" vertical="top" wrapText="0"/>
    </xf>
    <xf borderId="85" fillId="0" fontId="6" numFmtId="49" xfId="0" applyAlignment="1" applyBorder="1" applyFont="1" applyNumberFormat="1">
      <alignment shrinkToFit="0" vertical="top" wrapText="1"/>
    </xf>
    <xf borderId="86" fillId="0" fontId="6" numFmtId="49" xfId="0" applyAlignment="1" applyBorder="1" applyFont="1" applyNumberFormat="1">
      <alignment shrinkToFit="0" vertical="top" wrapText="1"/>
    </xf>
    <xf borderId="85" fillId="0" fontId="41" numFmtId="49" xfId="0" applyAlignment="1" applyBorder="1" applyFont="1" applyNumberFormat="1">
      <alignment shrinkToFit="0" vertical="top" wrapText="1"/>
    </xf>
    <xf borderId="18" fillId="2" fontId="39" numFmtId="0" xfId="0" applyAlignment="1" applyBorder="1" applyFont="1">
      <alignment shrinkToFit="0" vertical="top" wrapText="0"/>
    </xf>
    <xf borderId="87" fillId="2" fontId="3" numFmtId="49" xfId="0" applyAlignment="1" applyBorder="1" applyFont="1" applyNumberFormat="1">
      <alignment shrinkToFit="0" vertical="top" wrapText="1"/>
    </xf>
    <xf borderId="88" fillId="2" fontId="6" numFmtId="49" xfId="0" applyAlignment="1" applyBorder="1" applyFont="1" applyNumberFormat="1">
      <alignment horizontal="center" shrinkToFit="0" vertical="bottom" wrapText="0"/>
    </xf>
    <xf borderId="4" fillId="2" fontId="6" numFmtId="49" xfId="0" applyAlignment="1" applyBorder="1" applyFont="1" applyNumberFormat="1">
      <alignment horizontal="center" shrinkToFit="0" vertical="bottom" wrapText="0"/>
    </xf>
    <xf borderId="54" fillId="2" fontId="6" numFmtId="49" xfId="0" applyAlignment="1" applyBorder="1" applyFont="1" applyNumberFormat="1">
      <alignment horizontal="center" shrinkToFit="0" vertical="bottom" wrapText="0"/>
    </xf>
    <xf borderId="18" fillId="2" fontId="6" numFmtId="49" xfId="0" applyAlignment="1" applyBorder="1" applyFont="1" applyNumberFormat="1">
      <alignment horizontal="center" shrinkToFit="0" vertical="bottom" wrapText="0"/>
    </xf>
    <xf borderId="89" fillId="7" fontId="16" numFmtId="0" xfId="0" applyAlignment="1" applyBorder="1" applyFont="1">
      <alignment shrinkToFit="0" vertical="bottom" wrapText="0"/>
    </xf>
    <xf borderId="4" fillId="7" fontId="16" numFmtId="49" xfId="0" applyAlignment="1" applyBorder="1" applyFont="1" applyNumberFormat="1">
      <alignment shrinkToFit="0" vertical="bottom" wrapText="0"/>
    </xf>
    <xf borderId="5" fillId="7" fontId="16" numFmtId="49" xfId="0" applyAlignment="1" applyBorder="1" applyFont="1" applyNumberFormat="1">
      <alignment shrinkToFit="0" vertical="bottom" wrapText="0"/>
    </xf>
    <xf borderId="90" fillId="2" fontId="3" numFmtId="0" xfId="0" applyAlignment="1" applyBorder="1" applyFont="1">
      <alignment shrinkToFit="0" vertical="top" wrapText="1"/>
    </xf>
    <xf borderId="91" fillId="2" fontId="3" numFmtId="49" xfId="0" applyAlignment="1" applyBorder="1" applyFont="1" applyNumberFormat="1">
      <alignment shrinkToFit="0" vertical="bottom" wrapText="1"/>
    </xf>
    <xf borderId="92" fillId="2" fontId="3" numFmtId="49" xfId="0" applyAlignment="1" applyBorder="1" applyFont="1" applyNumberFormat="1">
      <alignment shrinkToFit="0" vertical="top" wrapText="1"/>
    </xf>
    <xf borderId="91" fillId="2" fontId="6" numFmtId="0" xfId="0" applyAlignment="1" applyBorder="1" applyFont="1">
      <alignment horizontal="center" shrinkToFit="0" vertical="bottom" wrapText="1"/>
    </xf>
    <xf borderId="91" fillId="2" fontId="6" numFmtId="0" xfId="0" applyAlignment="1" applyBorder="1" applyFont="1">
      <alignment horizontal="right" shrinkToFit="0" vertical="bottom" wrapText="1"/>
    </xf>
    <xf borderId="90" fillId="2" fontId="3" numFmtId="49" xfId="0" applyAlignment="1" applyBorder="1" applyFont="1" applyNumberFormat="1">
      <alignment shrinkToFit="0" vertical="top" wrapText="1"/>
    </xf>
    <xf borderId="93" fillId="2" fontId="3" numFmtId="0" xfId="0" applyAlignment="1" applyBorder="1" applyFont="1">
      <alignment shrinkToFit="0" vertical="top" wrapText="0"/>
    </xf>
    <xf borderId="59" fillId="2" fontId="3" numFmtId="0" xfId="0" applyAlignment="1" applyBorder="1" applyFont="1">
      <alignment shrinkToFit="0" vertical="top" wrapText="0"/>
    </xf>
    <xf borderId="59" fillId="2" fontId="3" numFmtId="10" xfId="0" applyAlignment="1" applyBorder="1" applyFont="1" applyNumberFormat="1">
      <alignment shrinkToFit="0" vertical="top" wrapText="0"/>
    </xf>
    <xf borderId="18" fillId="2" fontId="3" numFmtId="166" xfId="0" applyAlignment="1" applyBorder="1" applyFont="1" applyNumberFormat="1">
      <alignment shrinkToFit="0" vertical="top" wrapText="1"/>
    </xf>
    <xf borderId="92" fillId="2" fontId="3" numFmtId="0" xfId="0" applyAlignment="1" applyBorder="1" applyFont="1">
      <alignment shrinkToFit="0" vertical="top" wrapText="0"/>
    </xf>
    <xf borderId="18" fillId="2" fontId="3" numFmtId="0" xfId="0" applyAlignment="1" applyBorder="1" applyFont="1">
      <alignment shrinkToFit="0" vertical="top" wrapText="0"/>
    </xf>
    <xf borderId="18" fillId="2" fontId="3" numFmtId="10" xfId="0" applyAlignment="1" applyBorder="1" applyFont="1" applyNumberFormat="1">
      <alignment shrinkToFit="0" vertical="top" wrapText="0"/>
    </xf>
    <xf borderId="90" fillId="2" fontId="3" numFmtId="166" xfId="0" applyAlignment="1" applyBorder="1" applyFont="1" applyNumberFormat="1">
      <alignment shrinkToFit="0" vertical="top" wrapText="1"/>
    </xf>
    <xf borderId="91" fillId="2" fontId="3" numFmtId="0" xfId="0" applyAlignment="1" applyBorder="1" applyFont="1">
      <alignment shrinkToFit="0" vertical="bottom" wrapText="1"/>
    </xf>
    <xf borderId="92" fillId="2" fontId="3" numFmtId="0" xfId="0" applyAlignment="1" applyBorder="1" applyFont="1">
      <alignment shrinkToFit="0" vertical="top" wrapText="1"/>
    </xf>
    <xf borderId="94" fillId="2" fontId="3" numFmtId="0" xfId="0" applyAlignment="1" applyBorder="1" applyFont="1">
      <alignment shrinkToFit="0" vertical="top" wrapText="0"/>
    </xf>
    <xf borderId="42" fillId="2" fontId="3" numFmtId="0" xfId="0" applyAlignment="1" applyBorder="1" applyFont="1">
      <alignment shrinkToFit="0" vertical="top" wrapText="0"/>
    </xf>
    <xf borderId="42" fillId="2" fontId="3" numFmtId="10" xfId="0" applyAlignment="1" applyBorder="1" applyFont="1" applyNumberFormat="1">
      <alignment shrinkToFit="0" vertical="top" wrapText="0"/>
    </xf>
    <xf borderId="95" fillId="2" fontId="3" numFmtId="0" xfId="0" applyAlignment="1" applyBorder="1" applyFont="1">
      <alignment shrinkToFit="0" vertical="top" wrapText="0"/>
    </xf>
    <xf borderId="22" fillId="2" fontId="3" numFmtId="0" xfId="0" applyAlignment="1" applyBorder="1" applyFont="1">
      <alignment shrinkToFit="0" vertical="top" wrapText="0"/>
    </xf>
    <xf borderId="22" fillId="2" fontId="3" numFmtId="10" xfId="0" applyAlignment="1" applyBorder="1" applyFont="1" applyNumberFormat="1">
      <alignment shrinkToFit="0" vertical="top" wrapText="0"/>
    </xf>
    <xf borderId="96" fillId="2" fontId="3" numFmtId="49" xfId="0" applyAlignment="1" applyBorder="1" applyFont="1" applyNumberFormat="1">
      <alignment shrinkToFit="0" vertical="bottom" wrapText="0"/>
    </xf>
    <xf borderId="91" fillId="2" fontId="6" numFmtId="49" xfId="0" applyAlignment="1" applyBorder="1" applyFont="1" applyNumberFormat="1">
      <alignment horizontal="center" shrinkToFit="0" vertical="bottom" wrapText="1"/>
    </xf>
    <xf borderId="90" fillId="2" fontId="3" numFmtId="1" xfId="0" applyAlignment="1" applyBorder="1" applyFont="1" applyNumberFormat="1">
      <alignment shrinkToFit="0" vertical="top" wrapText="1"/>
    </xf>
    <xf borderId="42" fillId="2" fontId="3" numFmtId="49" xfId="0" applyAlignment="1" applyBorder="1" applyFont="1" applyNumberFormat="1">
      <alignment shrinkToFit="0" vertical="bottom" wrapText="0"/>
    </xf>
    <xf borderId="22" fillId="2" fontId="3" numFmtId="49" xfId="0" applyAlignment="1" applyBorder="1" applyFont="1" applyNumberFormat="1">
      <alignment shrinkToFit="0" vertical="bottom" wrapText="0"/>
    </xf>
    <xf borderId="90" fillId="2" fontId="42" numFmtId="0" xfId="0" applyAlignment="1" applyBorder="1" applyFont="1">
      <alignment shrinkToFit="0" vertical="top" wrapText="1"/>
    </xf>
    <xf borderId="18" fillId="2" fontId="3" numFmtId="9" xfId="0" applyAlignment="1" applyBorder="1" applyFont="1" applyNumberFormat="1">
      <alignment shrinkToFit="0" vertical="top" wrapText="1"/>
    </xf>
    <xf borderId="90" fillId="2" fontId="43" numFmtId="49" xfId="0" applyAlignment="1" applyBorder="1" applyFont="1" applyNumberFormat="1">
      <alignment shrinkToFit="0" vertical="top" wrapText="1"/>
    </xf>
    <xf borderId="92" fillId="2" fontId="44" numFmtId="49" xfId="0" applyAlignment="1" applyBorder="1" applyFont="1" applyNumberFormat="1">
      <alignment shrinkToFit="0" vertical="top" wrapText="1"/>
    </xf>
    <xf borderId="90" fillId="2" fontId="45" numFmtId="1" xfId="0" applyAlignment="1" applyBorder="1" applyFont="1" applyNumberFormat="1">
      <alignment shrinkToFit="0" vertical="top" wrapText="1"/>
    </xf>
    <xf borderId="92" fillId="2" fontId="3" numFmtId="1" xfId="0" applyAlignment="1" applyBorder="1" applyFont="1" applyNumberFormat="1">
      <alignment shrinkToFit="0" vertical="top" wrapText="1"/>
    </xf>
    <xf borderId="97" fillId="2" fontId="3" numFmtId="49" xfId="0" applyAlignment="1" applyBorder="1" applyFont="1" applyNumberFormat="1">
      <alignment shrinkToFit="0" vertical="bottom" wrapText="1"/>
    </xf>
    <xf borderId="97" fillId="2" fontId="6" numFmtId="0" xfId="0" applyAlignment="1" applyBorder="1" applyFont="1">
      <alignment horizontal="center" shrinkToFit="0" vertical="bottom" wrapText="1"/>
    </xf>
    <xf borderId="97" fillId="2" fontId="3" numFmtId="0" xfId="0" applyAlignment="1" applyBorder="1" applyFont="1">
      <alignment shrinkToFit="0" vertical="bottom" wrapText="1"/>
    </xf>
    <xf borderId="97" fillId="2" fontId="6" numFmtId="0" xfId="0" applyAlignment="1" applyBorder="1" applyFont="1">
      <alignment horizontal="right" shrinkToFit="0" vertical="bottom" wrapText="1"/>
    </xf>
    <xf borderId="98" fillId="7" fontId="3" numFmtId="49" xfId="0" applyAlignment="1" applyBorder="1" applyFont="1" applyNumberFormat="1">
      <alignment shrinkToFit="0" vertical="top" wrapText="1"/>
    </xf>
    <xf borderId="4" fillId="7" fontId="3" numFmtId="49" xfId="0" applyAlignment="1" applyBorder="1" applyFont="1" applyNumberFormat="1">
      <alignment shrinkToFit="0" vertical="top" wrapText="1"/>
    </xf>
    <xf borderId="53" fillId="7" fontId="3" numFmtId="49" xfId="0" applyAlignment="1" applyBorder="1" applyFont="1" applyNumberFormat="1">
      <alignment shrinkToFit="0" vertical="top" wrapText="1"/>
    </xf>
    <xf borderId="8" fillId="7" fontId="46" numFmtId="0" xfId="0" applyAlignment="1" applyBorder="1" applyFont="1">
      <alignment horizontal="left" shrinkToFit="0" vertical="top" wrapText="1"/>
    </xf>
    <xf borderId="99" fillId="2" fontId="3" numFmtId="0" xfId="0" applyAlignment="1" applyBorder="1" applyFont="1">
      <alignment shrinkToFit="0" vertical="top" wrapText="1"/>
    </xf>
    <xf borderId="100" fillId="2" fontId="3" numFmtId="0" xfId="0" applyAlignment="1" applyBorder="1" applyFont="1">
      <alignment shrinkToFit="0" vertical="top" wrapText="1"/>
    </xf>
    <xf borderId="101" fillId="15" fontId="47" numFmtId="49" xfId="0" applyAlignment="1" applyBorder="1" applyFill="1" applyFont="1" applyNumberFormat="1">
      <alignment shrinkToFit="0" vertical="top" wrapText="1"/>
    </xf>
    <xf borderId="102" fillId="15" fontId="47" numFmtId="49" xfId="0" applyAlignment="1" applyBorder="1" applyFont="1" applyNumberFormat="1">
      <alignment shrinkToFit="0" vertical="top" wrapText="1"/>
    </xf>
    <xf borderId="53" fillId="7" fontId="47" numFmtId="0" xfId="0" applyAlignment="1" applyBorder="1" applyFont="1">
      <alignment horizontal="left" shrinkToFit="0" vertical="top" wrapText="1"/>
    </xf>
    <xf borderId="8" fillId="7" fontId="47" numFmtId="49" xfId="0" applyAlignment="1" applyBorder="1" applyFont="1" applyNumberFormat="1">
      <alignment horizontal="left" shrinkToFit="0" vertical="top" wrapText="1"/>
    </xf>
    <xf borderId="8" fillId="7" fontId="47" numFmtId="166" xfId="0" applyAlignment="1" applyBorder="1" applyFont="1" applyNumberFormat="1">
      <alignment horizontal="left" shrinkToFit="0" vertical="top" wrapText="1"/>
    </xf>
    <xf borderId="8" fillId="7" fontId="47" numFmtId="0" xfId="0" applyAlignment="1" applyBorder="1" applyFont="1">
      <alignment horizontal="left" shrinkToFit="0" vertical="top" wrapText="1"/>
    </xf>
    <xf borderId="98" fillId="2" fontId="3" numFmtId="0" xfId="0" applyAlignment="1" applyBorder="1" applyFont="1">
      <alignment shrinkToFit="0" vertical="bottom" wrapText="0"/>
    </xf>
    <xf borderId="53" fillId="2" fontId="3" numFmtId="0" xfId="0" applyAlignment="1" applyBorder="1" applyFont="1">
      <alignment shrinkToFit="0" vertical="bottom" wrapText="0"/>
    </xf>
    <xf borderId="103" fillId="2" fontId="3" numFmtId="0" xfId="0" applyAlignment="1" applyBorder="1" applyFont="1">
      <alignment shrinkToFit="0" vertical="bottom" wrapText="0"/>
    </xf>
    <xf borderId="17" fillId="2" fontId="5" numFmtId="0" xfId="0" applyAlignment="1" applyBorder="1" applyFont="1">
      <alignment shrinkToFit="0" vertical="center" wrapText="1"/>
    </xf>
    <xf borderId="18" fillId="2" fontId="5" numFmtId="0" xfId="0" applyAlignment="1" applyBorder="1" applyFont="1">
      <alignment shrinkToFit="0" vertical="center" wrapText="1"/>
    </xf>
    <xf borderId="18" fillId="2" fontId="33" numFmtId="0" xfId="0" applyAlignment="1" applyBorder="1" applyFont="1">
      <alignment shrinkToFit="0" vertical="bottom" wrapText="0"/>
    </xf>
    <xf borderId="19" fillId="0" fontId="11" numFmtId="49" xfId="0" applyAlignment="1" applyBorder="1" applyFont="1" applyNumberFormat="1">
      <alignment horizontal="left" shrinkToFit="0" vertical="top" wrapText="1"/>
    </xf>
    <xf borderId="19" fillId="2" fontId="11" numFmtId="49" xfId="0" applyAlignment="1" applyBorder="1" applyFont="1" applyNumberFormat="1">
      <alignment horizontal="left" shrinkToFit="0" vertical="top" wrapText="1"/>
    </xf>
    <xf borderId="17" fillId="0" fontId="11" numFmtId="0" xfId="0" applyAlignment="1" applyBorder="1" applyFont="1">
      <alignment shrinkToFit="0" vertical="top" wrapText="1"/>
    </xf>
    <xf borderId="18" fillId="0" fontId="11" numFmtId="0" xfId="0" applyAlignment="1" applyBorder="1" applyFont="1">
      <alignment shrinkToFit="0" vertical="top" wrapText="1"/>
    </xf>
    <xf borderId="19" fillId="2" fontId="3" numFmtId="14" xfId="0" applyAlignment="1" applyBorder="1" applyFont="1" applyNumberFormat="1">
      <alignment shrinkToFit="0" vertical="top" wrapText="1"/>
    </xf>
    <xf borderId="19" fillId="0" fontId="3" numFmtId="0" xfId="0" applyAlignment="1" applyBorder="1" applyFont="1">
      <alignment shrinkToFit="0" vertical="top" wrapText="1"/>
    </xf>
    <xf borderId="18" fillId="0" fontId="11" numFmtId="49" xfId="0" applyAlignment="1" applyBorder="1" applyFont="1" applyNumberFormat="1">
      <alignment shrinkToFit="0" vertical="top"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worksheet" Target="worksheets/sheet13.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595959"/>
                </a:solidFill>
                <a:latin typeface="Helvetica"/>
              </a:defRPr>
            </a:pPr>
            <a:r>
              <a:rPr b="1" i="0" sz="1400">
                <a:solidFill>
                  <a:srgbClr val="595959"/>
                </a:solidFill>
                <a:latin typeface="Helvetica"/>
              </a:rPr>
              <a:t>Subsection Scores</a:t>
            </a:r>
          </a:p>
        </c:rich>
      </c:tx>
      <c:layout>
        <c:manualLayout>
          <c:xMode val="edge"/>
          <c:yMode val="edge"/>
          <c:x val="0.426034"/>
          <c:y val="0.0"/>
        </c:manualLayout>
      </c:layout>
      <c:overlay val="0"/>
    </c:title>
    <c:plotArea>
      <c:layout>
        <c:manualLayout>
          <c:xMode val="edge"/>
          <c:yMode val="edge"/>
          <c:x val="0.005"/>
          <c:y val="0.213677"/>
          <c:w val="0.99"/>
          <c:h val="0.773823"/>
        </c:manualLayout>
      </c:layout>
      <c:barChart>
        <c:barDir val="bar"/>
        <c:ser>
          <c:idx val="0"/>
          <c:order val="0"/>
          <c:tx>
            <c:v>Series2</c:v>
          </c:tx>
          <c:spPr>
            <a:solidFill>
              <a:srgbClr val="FF0000"/>
            </a:solidFill>
            <a:ln cmpd="sng">
              <a:solidFill>
                <a:srgbClr val="000000"/>
              </a:solidFill>
            </a:ln>
          </c:spPr>
          <c:val>
            <c:numRef>
              <c:f>Questions!$Y$2:$Y$21</c:f>
              <c:numCache/>
            </c:numRef>
          </c:val>
        </c:ser>
        <c:ser>
          <c:idx val="1"/>
          <c:order val="1"/>
          <c:tx>
            <c:v>Series1</c:v>
          </c:tx>
          <c:spPr>
            <a:solidFill>
              <a:srgbClr val="FF0000"/>
            </a:solidFill>
            <a:ln cmpd="sng">
              <a:solidFill>
                <a:srgbClr val="000000"/>
              </a:solidFill>
            </a:ln>
          </c:spPr>
          <c:val>
            <c:numRef>
              <c:f>Questions!$Y$2:$Y$21</c:f>
              <c:numCache/>
            </c:numRef>
          </c:val>
        </c:ser>
        <c:axId val="492773019"/>
        <c:axId val="1967406705"/>
      </c:barChart>
      <c:catAx>
        <c:axId val="492773019"/>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rot="0"/>
          <a:lstStyle/>
          <a:p>
            <a:pPr lvl="0">
              <a:defRPr b="0" i="0" sz="1200">
                <a:solidFill>
                  <a:srgbClr val="595959"/>
                </a:solidFill>
                <a:latin typeface="Verdana"/>
              </a:defRPr>
            </a:pPr>
          </a:p>
        </c:txPr>
        <c:crossAx val="1967406705"/>
      </c:catAx>
      <c:valAx>
        <c:axId val="1967406705"/>
        <c:scaling>
          <c:orientation val="minMax"/>
          <c:max val="1.0"/>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00%" sourceLinked="0"/>
        <c:majorTickMark val="none"/>
        <c:minorTickMark val="none"/>
        <c:tickLblPos val="nextTo"/>
        <c:spPr>
          <a:ln/>
        </c:spPr>
        <c:txPr>
          <a:bodyPr rot="0"/>
          <a:lstStyle/>
          <a:p>
            <a:pPr lvl="0">
              <a:defRPr b="0" i="0" sz="900">
                <a:solidFill>
                  <a:srgbClr val="595959"/>
                </a:solidFill>
                <a:latin typeface="Helvetica"/>
              </a:defRPr>
            </a:pPr>
          </a:p>
        </c:txPr>
        <c:crossAx val="492773019"/>
        <c:crosses val="max"/>
        <c:majorUnit val="0.25"/>
        <c:minorUnit val="0.125"/>
      </c:valAx>
      <c:spPr>
        <a:solidFill>
          <a:srgbClr val="FFFFFF"/>
        </a:solidFill>
      </c:spPr>
    </c:plotArea>
    <c:plotVisOnly val="1"/>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219075</xdr:colOff>
      <xdr:row>0</xdr:row>
      <xdr:rowOff>228600</xdr:rowOff>
    </xdr:from>
    <xdr:ext cx="8258175" cy="9820275"/>
    <xdr:sp>
      <xdr:nvSpPr>
        <xdr:cNvPr id="3" name="Shape 3"/>
        <xdr:cNvSpPr txBox="1"/>
      </xdr:nvSpPr>
      <xdr:spPr>
        <a:xfrm>
          <a:off x="1221675" y="0"/>
          <a:ext cx="8248650" cy="7560000"/>
        </a:xfrm>
        <a:prstGeom prst="rect">
          <a:avLst/>
        </a:prstGeom>
        <a:noFill/>
        <a:ln>
          <a:noFill/>
        </a:ln>
      </xdr:spPr>
      <xdr:txBody>
        <a:bodyPr anchorCtr="0" anchor="ctr" bIns="45675" lIns="45675" spcFirstLastPara="1" rIns="45675" wrap="square" tIns="45675">
          <a:spAutoFit/>
        </a:bodyPr>
        <a:lstStyle/>
        <a:p>
          <a:pPr indent="0" lvl="0" marL="0" marR="0" rtl="0" algn="ctr">
            <a:lnSpc>
              <a:spcPct val="100000"/>
            </a:lnSpc>
            <a:spcBef>
              <a:spcPts val="0"/>
            </a:spcBef>
            <a:spcAft>
              <a:spcPts val="0"/>
            </a:spcAft>
            <a:buClr>
              <a:srgbClr val="000000"/>
            </a:buClr>
            <a:buSzPts val="1600"/>
            <a:buFont typeface="Verdana"/>
            <a:buNone/>
          </a:pPr>
          <a:r>
            <a:rPr b="1" i="0" lang="en-US" sz="1600" u="none" cap="none" strike="noStrike">
              <a:solidFill>
                <a:srgbClr val="000000"/>
              </a:solidFill>
              <a:latin typeface="Verdana"/>
              <a:ea typeface="Verdana"/>
              <a:cs typeface="Verdana"/>
              <a:sym typeface="Verdana"/>
            </a:rPr>
            <a:t>Shared Assessments Introduction</a:t>
          </a:r>
          <a:endParaRPr b="1" i="0" sz="16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a:t>
          </a:r>
          <a:endParaRPr b="0"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br>
            <a:rPr b="0" i="0" lang="en-US" sz="1100" u="none" cap="none" strike="noStrike">
              <a:solidFill>
                <a:srgbClr val="000000"/>
              </a:solidFill>
              <a:latin typeface="Verdana"/>
              <a:ea typeface="Verdana"/>
              <a:cs typeface="Verdana"/>
              <a:sym typeface="Verdana"/>
            </a:rPr>
          </a:br>
          <a:r>
            <a:rPr b="0" i="0" lang="en-US" sz="1100" u="none" cap="none" strike="noStrike">
              <a:solidFill>
                <a:srgbClr val="000000"/>
              </a:solidFill>
              <a:latin typeface="Verdana"/>
              <a:ea typeface="Verdana"/>
              <a:cs typeface="Verdana"/>
              <a:sym typeface="Verdana"/>
            </a:rPr>
            <a:t>The </a:t>
          </a:r>
          <a:r>
            <a:rPr b="1" i="0" lang="en-US" sz="1100" u="none" cap="none" strike="noStrike">
              <a:solidFill>
                <a:srgbClr val="000000"/>
              </a:solidFill>
              <a:latin typeface="Verdana"/>
              <a:ea typeface="Verdana"/>
              <a:cs typeface="Verdana"/>
              <a:sym typeface="Verdana"/>
            </a:rPr>
            <a:t>Higher Education Community Vendor Assessment Toolkit </a:t>
          </a:r>
          <a:r>
            <a:rPr b="0" i="0" lang="en-US" sz="1100" u="none" cap="none" strike="noStrike">
              <a:solidFill>
                <a:srgbClr val="000000"/>
              </a:solidFill>
              <a:latin typeface="Verdana"/>
              <a:ea typeface="Verdana"/>
              <a:cs typeface="Verdana"/>
              <a:sym typeface="Verdana"/>
            </a:rPr>
            <a:t>(</a:t>
          </a:r>
          <a:r>
            <a:rPr b="1" i="0" lang="en-US" sz="1100" u="none" cap="none" strike="noStrike">
              <a:solidFill>
                <a:srgbClr val="000000"/>
              </a:solidFill>
              <a:latin typeface="Verdana"/>
              <a:ea typeface="Verdana"/>
              <a:cs typeface="Verdana"/>
              <a:sym typeface="Verdana"/>
            </a:rPr>
            <a:t>HECVAT</a:t>
          </a:r>
          <a:r>
            <a:rPr b="0" i="0" lang="en-US" sz="1100" u="none" cap="none" strike="noStrike">
              <a:solidFill>
                <a:srgbClr val="000000"/>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br>
            <a:rPr b="0" i="0" lang="en-US" sz="1100" u="none" cap="none" strike="noStrike">
              <a:solidFill>
                <a:srgbClr val="000000"/>
              </a:solidFill>
              <a:latin typeface="Verdana"/>
              <a:ea typeface="Verdana"/>
              <a:cs typeface="Verdana"/>
              <a:sym typeface="Verdana"/>
            </a:rPr>
          </a:br>
          <a:r>
            <a:rPr b="0" i="0" lang="en-US" sz="1100" u="none" cap="none" strike="noStrike">
              <a:solidFill>
                <a:srgbClr val="000000"/>
              </a:solidFill>
              <a:latin typeface="Verdana"/>
              <a:ea typeface="Verdana"/>
              <a:cs typeface="Verdana"/>
              <a:sym typeface="Verdana"/>
            </a:rPr>
            <a:t>The Higher Education Community Vendor Assessment Toolkit:</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b="0"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Allows a consistent, easily-adopted methodology for campuses wishing to reduce costs through vendor services without increasing risks</a:t>
          </a:r>
          <a:endParaRPr b="0"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Reduces the burden that service providers face in responding to requests for security assessments from higher education institutions</a:t>
          </a:r>
          <a:endParaRPr b="0"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b="0"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a:t>
          </a:r>
          <a:r>
            <a:rPr b="1" i="0" lang="en-US" sz="1100" u="none" cap="none" strike="noStrike">
              <a:solidFill>
                <a:srgbClr val="000000"/>
              </a:solidFill>
              <a:latin typeface="Verdana"/>
              <a:ea typeface="Verdana"/>
              <a:cs typeface="Verdana"/>
              <a:sym typeface="Verdana"/>
            </a:rPr>
            <a:t>HECVAT - Triage</a:t>
          </a:r>
          <a:r>
            <a:rPr b="0" i="0" lang="en-US" sz="1100" u="none" cap="none" strike="noStrike">
              <a:solidFill>
                <a:srgbClr val="000000"/>
              </a:solidFill>
              <a:latin typeface="Verdana"/>
              <a:ea typeface="Verdana"/>
              <a:cs typeface="Verdana"/>
              <a:sym typeface="Verdana"/>
            </a:rPr>
            <a:t>: Used to initiate risk/security assessment requests - review to determine assessment requirements</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a:t>
          </a:r>
          <a:r>
            <a:rPr b="1" i="0" lang="en-US" sz="1100" u="none" cap="none" strike="noStrike">
              <a:solidFill>
                <a:srgbClr val="FF0000"/>
              </a:solidFill>
              <a:latin typeface="Verdana"/>
              <a:ea typeface="Verdana"/>
              <a:cs typeface="Verdana"/>
              <a:sym typeface="Verdana"/>
            </a:rPr>
            <a:t>HECVAT - Full</a:t>
          </a:r>
          <a:r>
            <a:rPr b="0" i="0" lang="en-US" sz="1100" u="none" cap="none" strike="noStrike">
              <a:solidFill>
                <a:srgbClr val="000000"/>
              </a:solidFill>
              <a:latin typeface="Verdana"/>
              <a:ea typeface="Verdana"/>
              <a:cs typeface="Verdana"/>
              <a:sym typeface="Verdana"/>
            </a:rPr>
            <a:t>: Robust questionnaire used to assess the most critical data sharing engagements</a:t>
          </a:r>
          <a:endParaRPr b="0"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a:t>
          </a:r>
          <a:r>
            <a:rPr b="1" i="0" lang="en-US" sz="1100" u="none" cap="none" strike="noStrike">
              <a:solidFill>
                <a:srgbClr val="000000"/>
              </a:solidFill>
              <a:latin typeface="Verdana"/>
              <a:ea typeface="Verdana"/>
              <a:cs typeface="Verdana"/>
              <a:sym typeface="Verdana"/>
            </a:rPr>
            <a:t>HECVAT - Lite</a:t>
          </a:r>
          <a:r>
            <a:rPr b="0" i="0" lang="en-US" sz="1100" u="none" cap="none" strike="noStrike">
              <a:solidFill>
                <a:srgbClr val="000000"/>
              </a:solidFill>
              <a:latin typeface="Verdana"/>
              <a:ea typeface="Verdana"/>
              <a:cs typeface="Verdana"/>
              <a:sym typeface="Verdana"/>
            </a:rPr>
            <a:t>: A lightweight questionnaire used to expedite process </a:t>
          </a:r>
          <a:endParaRPr b="0"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a:t>
          </a:r>
          <a:r>
            <a:rPr b="1" i="0" lang="en-US" sz="1100" u="none" cap="none" strike="noStrike">
              <a:solidFill>
                <a:srgbClr val="000000"/>
              </a:solidFill>
              <a:latin typeface="Verdana"/>
              <a:ea typeface="Verdana"/>
              <a:cs typeface="Verdana"/>
              <a:sym typeface="Verdana"/>
            </a:rPr>
            <a:t>HECVAT - On-Premise</a:t>
          </a:r>
          <a:r>
            <a:rPr b="0" i="0" lang="en-US" sz="1100" u="none" cap="none" strike="noStrike">
              <a:solidFill>
                <a:srgbClr val="000000"/>
              </a:solidFill>
              <a:latin typeface="Verdana"/>
              <a:ea typeface="Verdana"/>
              <a:cs typeface="Verdana"/>
              <a:sym typeface="Verdana"/>
            </a:rPr>
            <a:t>: Unique questionnaire used to evaluate on-premise appliances and software</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br>
            <a:rPr b="0" i="0" lang="en-US" sz="1100" u="none" cap="none" strike="noStrike">
              <a:solidFill>
                <a:srgbClr val="000000"/>
              </a:solidFill>
              <a:latin typeface="Verdana"/>
              <a:ea typeface="Verdana"/>
              <a:cs typeface="Verdana"/>
              <a:sym typeface="Verdana"/>
            </a:rPr>
          </a:br>
          <a:r>
            <a:rPr b="0" i="0" lang="en-US" sz="1100" u="none" cap="none" strike="noStrike">
              <a:solidFill>
                <a:srgbClr val="000000"/>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b="0"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t/>
          </a:r>
          <a:endParaRPr b="0" i="0" sz="1100" u="none" cap="none" strike="noStrike">
            <a:solidFill>
              <a:srgbClr val="000000"/>
            </a:solidFill>
            <a:latin typeface="Verdana"/>
            <a:ea typeface="Verdana"/>
            <a:cs typeface="Verdana"/>
            <a:sym typeface="Verdana"/>
          </a:endParaRPr>
        </a:p>
        <a:p>
          <a:pPr indent="0" lvl="0" marL="0" marR="0" rtl="0" algn="ctr">
            <a:lnSpc>
              <a:spcPct val="100000"/>
            </a:lnSpc>
            <a:spcBef>
              <a:spcPts val="0"/>
            </a:spcBef>
            <a:spcAft>
              <a:spcPts val="0"/>
            </a:spcAft>
            <a:buClr>
              <a:srgbClr val="000000"/>
            </a:buClr>
            <a:buSzPts val="1200"/>
            <a:buFont typeface="Verdana"/>
            <a:buNone/>
          </a:pPr>
          <a:r>
            <a:rPr b="1" i="0" lang="en-US" sz="1200" u="none" cap="none" strike="noStrike">
              <a:solidFill>
                <a:srgbClr val="000000"/>
              </a:solidFill>
              <a:latin typeface="Verdana"/>
              <a:ea typeface="Verdana"/>
              <a:cs typeface="Verdana"/>
              <a:sym typeface="Verdana"/>
            </a:rPr>
            <a:t>https://www.educause.edu/hecvat</a:t>
          </a:r>
          <a:endParaRPr b="1" i="0" sz="1400" u="none" cap="none" strike="noStrike">
            <a:solidFill>
              <a:srgbClr val="000000"/>
            </a:solidFill>
            <a:latin typeface="Verdana"/>
            <a:ea typeface="Verdana"/>
            <a:cs typeface="Verdana"/>
            <a:sym typeface="Verdana"/>
          </a:endParaRPr>
        </a:p>
        <a:p>
          <a:pPr indent="0" lvl="0" marL="0" marR="0" rtl="0" algn="ctr">
            <a:lnSpc>
              <a:spcPct val="100000"/>
            </a:lnSpc>
            <a:spcBef>
              <a:spcPts val="0"/>
            </a:spcBef>
            <a:spcAft>
              <a:spcPts val="0"/>
            </a:spcAft>
            <a:buClr>
              <a:srgbClr val="000000"/>
            </a:buClr>
            <a:buSzPts val="1200"/>
            <a:buFont typeface="Verdana"/>
            <a:buNone/>
          </a:pPr>
          <a:r>
            <a:rPr b="1" i="0" lang="en-US" sz="1200" u="none" cap="none" strike="noStrike">
              <a:solidFill>
                <a:srgbClr val="000000"/>
              </a:solidFill>
              <a:latin typeface="Verdana"/>
              <a:ea typeface="Verdana"/>
              <a:cs typeface="Verdana"/>
              <a:sym typeface="Verdana"/>
            </a:rPr>
            <a:t>https://www.ren-isac.net/hecvat</a:t>
          </a:r>
          <a:endParaRPr b="1"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400"/>
            <a:buFont typeface="Verdana"/>
            <a:buNone/>
          </a:pPr>
          <a:br>
            <a:rPr b="0" i="0" lang="en-US" sz="1400" u="none" cap="none" strike="noStrike">
              <a:solidFill>
                <a:srgbClr val="000000"/>
              </a:solidFill>
              <a:latin typeface="Verdana"/>
              <a:ea typeface="Verdana"/>
              <a:cs typeface="Verdana"/>
              <a:sym typeface="Verdana"/>
            </a:rPr>
          </a:br>
          <a:r>
            <a:rPr b="0" i="0" lang="en-US" sz="1100" u="none" cap="none" strike="noStrike">
              <a:solidFill>
                <a:srgbClr val="000000"/>
              </a:solidFill>
              <a:latin typeface="Verdana"/>
              <a:ea typeface="Verdana"/>
              <a:cs typeface="Verdana"/>
              <a:sym typeface="Verdana"/>
            </a:rPr>
            <a:t>(C) EDUCAUSE 2019</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This work is licensed under a Creative Commons Attribution-Noncommercial-ShareAlike 4.0 International License (CC BY-NC-SA 4.0).</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br>
            <a:rPr b="0" i="0" lang="en-US" sz="1100" u="none" cap="none" strike="noStrike">
              <a:solidFill>
                <a:srgbClr val="000000"/>
              </a:solidFill>
              <a:latin typeface="Verdana"/>
              <a:ea typeface="Verdana"/>
              <a:cs typeface="Verdana"/>
              <a:sym typeface="Verdana"/>
            </a:rPr>
          </a:br>
          <a:r>
            <a:rPr b="0" i="0" lang="en-US" sz="1100" u="none" cap="none" strike="noStrike">
              <a:solidFill>
                <a:srgbClr val="000000"/>
              </a:solidFill>
              <a:latin typeface="Verdana"/>
              <a:ea typeface="Verdana"/>
              <a:cs typeface="Verdana"/>
              <a:sym typeface="Verdana"/>
            </a:rPr>
            <a:t>This Higher Education Cloud Vendor Assessment Toolkit 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23875"/>
    <xdr:pic>
      <xdr:nvPicPr>
        <xdr:cNvPr descr="Picture 2"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104775</xdr:colOff>
      <xdr:row>0</xdr:row>
      <xdr:rowOff>0</xdr:rowOff>
    </xdr:from>
    <xdr:ext cx="6448425" cy="18030825"/>
    <xdr:sp>
      <xdr:nvSpPr>
        <xdr:cNvPr id="4" name="Shape 4"/>
        <xdr:cNvSpPr txBox="1"/>
      </xdr:nvSpPr>
      <xdr:spPr>
        <a:xfrm>
          <a:off x="2126550" y="0"/>
          <a:ext cx="6438900" cy="7560000"/>
        </a:xfrm>
        <a:prstGeom prst="rect">
          <a:avLst/>
        </a:prstGeom>
        <a:noFill/>
        <a:ln>
          <a:noFill/>
        </a:ln>
      </xdr:spPr>
      <xdr:txBody>
        <a:bodyPr anchorCtr="0" anchor="t" bIns="45700" lIns="45700" spcFirstLastPara="1" rIns="45700" wrap="square" tIns="45700">
          <a:noAutofit/>
        </a:bodyPr>
        <a:lstStyle/>
        <a:p>
          <a:pPr indent="0" lvl="0" marL="0" marR="0" rtl="0" algn="l">
            <a:lnSpc>
              <a:spcPct val="100000"/>
            </a:lnSpc>
            <a:spcBef>
              <a:spcPts val="0"/>
            </a:spcBef>
            <a:spcAft>
              <a:spcPts val="0"/>
            </a:spcAft>
            <a:buClr>
              <a:srgbClr val="000000"/>
            </a:buClr>
            <a:buSzPts val="1100"/>
            <a:buFont typeface="Helvetica Neue"/>
            <a:buNone/>
          </a:pPr>
          <a:r>
            <a:t/>
          </a:r>
          <a:endParaRPr b="1" i="0" sz="1100" u="none" cap="none" strike="noStrike">
            <a:solidFill>
              <a:srgbClr val="000000"/>
            </a:solidFill>
            <a:latin typeface="Helvetica Neue"/>
            <a:ea typeface="Helvetica Neue"/>
            <a:cs typeface="Helvetica Neue"/>
            <a:sym typeface="Helvetica Neue"/>
          </a:endParaRPr>
        </a:p>
        <a:p>
          <a:pPr indent="0" lvl="0" marL="0" marR="0" rtl="0" algn="ctr">
            <a:lnSpc>
              <a:spcPct val="100000"/>
            </a:lnSpc>
            <a:spcBef>
              <a:spcPts val="0"/>
            </a:spcBef>
            <a:spcAft>
              <a:spcPts val="0"/>
            </a:spcAft>
            <a:buClr>
              <a:srgbClr val="000000"/>
            </a:buClr>
            <a:buSzPts val="1100"/>
            <a:buFont typeface="Helvetica Neue"/>
            <a:buNone/>
          </a:pPr>
          <a:r>
            <a:t/>
          </a:r>
          <a:endParaRPr b="1" i="0" sz="1100" u="none" cap="none" strike="noStrike">
            <a:solidFill>
              <a:srgbClr val="000000"/>
            </a:solidFill>
            <a:latin typeface="Helvetica Neue"/>
            <a:ea typeface="Helvetica Neue"/>
            <a:cs typeface="Helvetica Neue"/>
            <a:sym typeface="Helvetica Neue"/>
          </a:endParaRPr>
        </a:p>
        <a:p>
          <a:pPr indent="0" lvl="0" marL="0" marR="0" rtl="0" algn="ctr">
            <a:lnSpc>
              <a:spcPct val="100000"/>
            </a:lnSpc>
            <a:spcBef>
              <a:spcPts val="0"/>
            </a:spcBef>
            <a:spcAft>
              <a:spcPts val="0"/>
            </a:spcAft>
            <a:buClr>
              <a:srgbClr val="000000"/>
            </a:buClr>
            <a:buSzPts val="1100"/>
            <a:buFont typeface="Helvetica Neue"/>
            <a:buNone/>
          </a:pPr>
          <a:r>
            <a:t/>
          </a:r>
          <a:endParaRPr b="1" i="0" sz="1100" u="none" cap="none" strike="noStrike">
            <a:solidFill>
              <a:srgbClr val="000000"/>
            </a:solidFill>
            <a:latin typeface="Helvetica Neue"/>
            <a:ea typeface="Helvetica Neue"/>
            <a:cs typeface="Helvetica Neue"/>
            <a:sym typeface="Helvetica Neue"/>
          </a:endParaRPr>
        </a:p>
        <a:p>
          <a:pPr indent="0" lvl="0" marL="0" marR="0" rtl="0" algn="ctr">
            <a:lnSpc>
              <a:spcPct val="100000"/>
            </a:lnSpc>
            <a:spcBef>
              <a:spcPts val="0"/>
            </a:spcBef>
            <a:spcAft>
              <a:spcPts val="0"/>
            </a:spcAft>
            <a:buClr>
              <a:srgbClr val="000000"/>
            </a:buClr>
            <a:buSzPts val="1400"/>
            <a:buFont typeface="Verdana"/>
            <a:buNone/>
          </a:pPr>
          <a:r>
            <a:rPr b="1" i="0" lang="en-US" sz="1400" u="none" cap="none" strike="noStrike">
              <a:solidFill>
                <a:srgbClr val="000000"/>
              </a:solidFill>
              <a:latin typeface="Verdana"/>
              <a:ea typeface="Verdana"/>
              <a:cs typeface="Verdana"/>
              <a:sym typeface="Verdana"/>
            </a:rPr>
            <a:t>Acknowledgments</a:t>
          </a:r>
          <a:endParaRPr b="1" i="0" sz="14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Members that contributed to Phase IV (2019) of this effort are:</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Jon Allen, Baylor University (working group chair)</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Matthew Buss, Internet2</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Josh Callahan, Humboldt State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Andrea Childress, University of Nebraska</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Tom Coffy, University of Tennessee</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Susan Coleman, REN-ISAC</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Susan Cullen, CSU Office of the Chancellor</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Michael Cyr, University of Maine System</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Debra Dandridge, Texas A&amp;M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Niranjan Davray, Colgate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Charles Escue, Indiana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Carl Flynn, Baylor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Ruth Ginzberg, University of Wisconsin System</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Sean Hagan, Yavapai College</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Daphne Ireland, Princeton</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Brian Kelly, EDUCAUSE</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Amy Kobezak, Virginia Tech</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Nick Lewis, Internet2</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Sue McGlashan, University of Toronto</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Hector Molina, East Carolina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Mark Nichols, Virginia Tech</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Laura Raderman, Carnegie Mellon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Kyle Shachmut, Harvard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Bob Smith, Longwood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Kyle Smith, Georgia Tech</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Christian Vinten-Johansen, Penn State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Valerie Vogel, EDUCAUSE</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Members that contributed to Phase III (2018) of this effort are:</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Jon Allen, Baylor University </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Josh Callahan, Humboldt State University</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Susan Coleman, REN-ISAC</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Charles Escue, Indiana University</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Joanna Grama, EDUCAUSE</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Todd Herring, REN-ISAC</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Jefferson Hopkins, Purdue University</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Alex Jalso, West Virginia University</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Nick Lewis, Internet2</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Kim Milford, REN-ISAC</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Amanda Sarratore, University of Notre Dame</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Gary Taylor, York University</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Valerie Vogel, EDUCAUSE</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Gene Willacker, Michigan State University</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  David Zeichick, California State University, Chico</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Members that contributed to Phase II (2017) of this effort are:</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Jon Allen, Baylor University </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Samantha Birk, IMS Global Learning Consortium</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Jeff Bohrer, IMS Global Learning Consortium</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Sarah Braun, University of Colorado - Denver</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David Cassada, University of California - Davis</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Matthew Dalton, University of Massachusetts Amherst</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Charles Escue, Indiana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Joanna Grama, EDUCAUSE</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Todd Herring, REN-ISAC</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Kolin Hodgson, University of Notre Dame</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Tom Horton, Cornell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Leo Howell, North Carolina State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Alex Jalso, West Virginia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Nick Lewis, Internet2</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Wyman Miles, Cornell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Kim Milford, REN-ISAC</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Valerie Vogel, EDUCAUSE</a:t>
          </a:r>
          <a:endParaRPr b="0" i="0" sz="1100" u="none" cap="none" strike="noStrike">
            <a:solidFill>
              <a:srgbClr val="000000"/>
            </a:solidFill>
            <a:latin typeface="Verdana"/>
            <a:ea typeface="Verdana"/>
            <a:cs typeface="Verdana"/>
            <a:sym typeface="Verdana"/>
          </a:endParaRPr>
        </a:p>
        <a:p>
          <a:pPr indent="0" lvl="0" marL="0" marR="0" rtl="0" algn="l">
            <a:lnSpc>
              <a:spcPct val="100000"/>
            </a:lnSpc>
            <a:spcBef>
              <a:spcPts val="0"/>
            </a:spcBef>
            <a:spcAft>
              <a:spcPts val="0"/>
            </a:spcAft>
            <a:buClr>
              <a:srgbClr val="000000"/>
            </a:buClr>
            <a:buSzPts val="1100"/>
            <a:buFont typeface="Helvetica Neue"/>
            <a:buNone/>
          </a:pPr>
          <a:r>
            <a:t/>
          </a:r>
          <a:endParaRPr b="0" i="0" sz="1100" u="none" cap="none" strike="noStrike">
            <a:solidFill>
              <a:srgbClr val="000000"/>
            </a:solidFill>
            <a:latin typeface="Helvetica Neue"/>
            <a:ea typeface="Helvetica Neue"/>
            <a:cs typeface="Helvetica Neue"/>
            <a:sym typeface="Helvetica Neue"/>
          </a:endParaRPr>
        </a:p>
        <a:p>
          <a:pPr indent="0" lvl="0" marL="0" marR="0" rtl="0" algn="l">
            <a:lnSpc>
              <a:spcPct val="100000"/>
            </a:lnSpc>
            <a:spcBef>
              <a:spcPts val="0"/>
            </a:spcBef>
            <a:spcAft>
              <a:spcPts val="0"/>
            </a:spcAft>
            <a:buClr>
              <a:srgbClr val="000000"/>
            </a:buClr>
            <a:buSzPts val="1100"/>
            <a:buFont typeface="Helvetica Neue"/>
            <a:buNone/>
          </a:pPr>
          <a:r>
            <a:t/>
          </a:r>
          <a:endParaRPr b="0" i="1" sz="1100" u="none" cap="none" strike="noStrike">
            <a:solidFill>
              <a:srgbClr val="000000"/>
            </a:solidFill>
            <a:latin typeface="Helvetica Neue"/>
            <a:ea typeface="Helvetica Neue"/>
            <a:cs typeface="Helvetica Neue"/>
            <a:sym typeface="Helvetica Neue"/>
          </a:endParaRPr>
        </a:p>
        <a:p>
          <a:pPr indent="0" lvl="0" marL="0" marR="0" rtl="0" algn="l">
            <a:lnSpc>
              <a:spcPct val="100000"/>
            </a:lnSpc>
            <a:spcBef>
              <a:spcPts val="0"/>
            </a:spcBef>
            <a:spcAft>
              <a:spcPts val="0"/>
            </a:spcAft>
            <a:buClr>
              <a:srgbClr val="000000"/>
            </a:buClr>
            <a:buSzPts val="1100"/>
            <a:buFont typeface="Verdana"/>
            <a:buNone/>
          </a:pPr>
          <a:r>
            <a:rPr b="0" i="0" lang="en-US" sz="1100" u="none" cap="none" strike="noStrike">
              <a:solidFill>
                <a:srgbClr val="000000"/>
              </a:solidFill>
              <a:latin typeface="Verdana"/>
              <a:ea typeface="Verdana"/>
              <a:cs typeface="Verdana"/>
              <a:sym typeface="Verdana"/>
            </a:rPr>
            <a:t>Members that contributed to Phase I (2016) of this effort are:</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Jon Allen, Baylor University </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John Bruggeman, Hebrew Union College, Jewish Institute of Religion</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Charles Escue, Indiana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Joanna Grama, EDUCAUSE</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Karl Hassler, University of Delaware </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Todd Herring, REN-ISAC</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Nick Lewis, Internet2</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Kim Milford, REN-ISAC</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Craig Munson, Minnesota State Colleges &amp; Universities</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Mitch Parks, University of Idaho </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Laura Raderman, Carnegie Mellon University</a:t>
          </a:r>
          <a:endParaRPr b="0" i="0" sz="1100" u="none" cap="none" strike="noStrike">
            <a:solidFill>
              <a:srgbClr val="000000"/>
            </a:solidFill>
            <a:latin typeface="Verdana"/>
            <a:ea typeface="Verdana"/>
            <a:cs typeface="Verdana"/>
            <a:sym typeface="Verdana"/>
          </a:endParaRPr>
        </a:p>
        <a:p>
          <a:pPr indent="-171450" lvl="0" marL="171450" marR="0" rtl="0" algn="l">
            <a:lnSpc>
              <a:spcPct val="100000"/>
            </a:lnSpc>
            <a:spcBef>
              <a:spcPts val="0"/>
            </a:spcBef>
            <a:spcAft>
              <a:spcPts val="0"/>
            </a:spcAft>
            <a:buClr>
              <a:srgbClr val="000000"/>
            </a:buClr>
            <a:buSzPts val="1100"/>
            <a:buFont typeface="Arial"/>
            <a:buChar char="•"/>
          </a:pPr>
          <a:r>
            <a:rPr b="0" i="0" lang="en-US" sz="1100" u="none" cap="none" strike="noStrike">
              <a:solidFill>
                <a:srgbClr val="000000"/>
              </a:solidFill>
              <a:latin typeface="Verdana"/>
              <a:ea typeface="Verdana"/>
              <a:cs typeface="Verdana"/>
              <a:sym typeface="Verdana"/>
            </a:rPr>
            <a:t>Valerie Vogel, EDUCAUSE</a:t>
          </a:r>
          <a:endParaRPr sz="1400"/>
        </a:p>
      </xdr:txBody>
    </xdr:sp>
    <xdr:clientData fLocksWithSheet="0"/>
  </xdr:oneCellAnchor>
  <xdr:oneCellAnchor>
    <xdr:from>
      <xdr:col>0</xdr:col>
      <xdr:colOff>85725</xdr:colOff>
      <xdr:row>0</xdr:row>
      <xdr:rowOff>85725</xdr:rowOff>
    </xdr:from>
    <xdr:ext cx="2066925" cy="504825"/>
    <xdr:pic>
      <xdr:nvPicPr>
        <xdr:cNvPr descr="Picture 4"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12</xdr:row>
      <xdr:rowOff>142875</xdr:rowOff>
    </xdr:from>
    <xdr:ext cx="5857875" cy="1266825"/>
    <xdr:pic>
      <xdr:nvPicPr>
        <xdr:cNvPr descr="Picture 10"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66675</xdr:colOff>
      <xdr:row>15</xdr:row>
      <xdr:rowOff>314325</xdr:rowOff>
    </xdr:from>
    <xdr:ext cx="8782050" cy="866775"/>
    <xdr:pic>
      <xdr:nvPicPr>
        <xdr:cNvPr descr="Picture 12"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1314450</xdr:colOff>
      <xdr:row>4</xdr:row>
      <xdr:rowOff>276225</xdr:rowOff>
    </xdr:from>
    <xdr:ext cx="9115425" cy="8096250"/>
    <xdr:graphicFrame>
      <xdr:nvGraphicFramePr>
        <xdr:cNvPr id="1001072188"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s://cloud.google.com/security/compliance/soc-2" TargetMode="External"/><Relationship Id="rId22" Type="http://schemas.openxmlformats.org/officeDocument/2006/relationships/hyperlink" Target="https://firebase.google.com/terms/data-processing-terms:" TargetMode="External"/><Relationship Id="rId21" Type="http://schemas.openxmlformats.org/officeDocument/2006/relationships/hyperlink" Target="https://firebase.google.com/terms/data-processing-terms:" TargetMode="External"/><Relationship Id="rId24" Type="http://schemas.openxmlformats.org/officeDocument/2006/relationships/hyperlink" Target="https://firebase.google.com/terms/data-processing-terms:" TargetMode="External"/><Relationship Id="rId23" Type="http://schemas.openxmlformats.org/officeDocument/2006/relationships/hyperlink" Target="https://firebase.google.com/terms/data-processing-terms:" TargetMode="External"/><Relationship Id="rId1" Type="http://schemas.openxmlformats.org/officeDocument/2006/relationships/comments" Target="../comments1.xml"/><Relationship Id="rId2" Type="http://schemas.openxmlformats.org/officeDocument/2006/relationships/hyperlink" Target="https://ltiaas.com/privacy-policy/" TargetMode="External"/><Relationship Id="rId3" Type="http://schemas.openxmlformats.org/officeDocument/2006/relationships/hyperlink" Target="mailto:joecrop@ltiaas.com" TargetMode="External"/><Relationship Id="rId4" Type="http://schemas.openxmlformats.org/officeDocument/2006/relationships/hyperlink" Target="https://ltiaas.com/compliance/CAIQ-Lite.pdf" TargetMode="External"/><Relationship Id="rId9" Type="http://schemas.openxmlformats.org/officeDocument/2006/relationships/hyperlink" Target="https://ltiaas.com/compliance" TargetMode="External"/><Relationship Id="rId26" Type="http://schemas.openxmlformats.org/officeDocument/2006/relationships/hyperlink" Target="https://ltiaas.com/compliance" TargetMode="External"/><Relationship Id="rId25" Type="http://schemas.openxmlformats.org/officeDocument/2006/relationships/hyperlink" Target="https://ltiaas.com/compliance" TargetMode="External"/><Relationship Id="rId28" Type="http://schemas.openxmlformats.org/officeDocument/2006/relationships/hyperlink" Target="https://ltiaas.com/compliance" TargetMode="External"/><Relationship Id="rId27" Type="http://schemas.openxmlformats.org/officeDocument/2006/relationships/hyperlink" Target="https://ltiaas.com/compliance" TargetMode="External"/><Relationship Id="rId5" Type="http://schemas.openxmlformats.org/officeDocument/2006/relationships/hyperlink" Target="https://ltiaas.com/privacy-policy" TargetMode="External"/><Relationship Id="rId6" Type="http://schemas.openxmlformats.org/officeDocument/2006/relationships/hyperlink" Target="https://cloud.google.com/terms/data-processing-addendum" TargetMode="External"/><Relationship Id="rId29" Type="http://schemas.openxmlformats.org/officeDocument/2006/relationships/hyperlink" Target="https://ltiaas.com/compliance" TargetMode="External"/><Relationship Id="rId7" Type="http://schemas.openxmlformats.org/officeDocument/2006/relationships/hyperlink" Target="https://ltiaas.com/compliance" TargetMode="External"/><Relationship Id="rId8" Type="http://schemas.openxmlformats.org/officeDocument/2006/relationships/hyperlink" Target="https://ltiaas.com/docs" TargetMode="External"/><Relationship Id="rId31" Type="http://schemas.openxmlformats.org/officeDocument/2006/relationships/hyperlink" Target="https://ltiaas.com/compliance" TargetMode="External"/><Relationship Id="rId30" Type="http://schemas.openxmlformats.org/officeDocument/2006/relationships/hyperlink" Target="https://ltiaas.com/compliance" TargetMode="External"/><Relationship Id="rId11" Type="http://schemas.openxmlformats.org/officeDocument/2006/relationships/hyperlink" Target="https://ltiaas.com/compliance" TargetMode="External"/><Relationship Id="rId33" Type="http://schemas.openxmlformats.org/officeDocument/2006/relationships/hyperlink" Target="https://firebase.google.com/terms/data-processing-terms:" TargetMode="External"/><Relationship Id="rId10" Type="http://schemas.openxmlformats.org/officeDocument/2006/relationships/hyperlink" Target="https://ltiaas.com/compliance" TargetMode="External"/><Relationship Id="rId32" Type="http://schemas.openxmlformats.org/officeDocument/2006/relationships/hyperlink" Target="https://ltiaas.com/compliance" TargetMode="External"/><Relationship Id="rId13" Type="http://schemas.openxmlformats.org/officeDocument/2006/relationships/hyperlink" Target="https://firebaseopensource.com/projects/firebase/scrypt/" TargetMode="External"/><Relationship Id="rId35" Type="http://schemas.openxmlformats.org/officeDocument/2006/relationships/vmlDrawing" Target="../drawings/vmlDrawing1.vml"/><Relationship Id="rId12" Type="http://schemas.openxmlformats.org/officeDocument/2006/relationships/hyperlink" Target="https://ltiaas.com/compliance" TargetMode="External"/><Relationship Id="rId34" Type="http://schemas.openxmlformats.org/officeDocument/2006/relationships/drawing" Target="../drawings/drawing3.xml"/><Relationship Id="rId15" Type="http://schemas.openxmlformats.org/officeDocument/2006/relationships/hyperlink" Target="https://ltiaas.com/compliance" TargetMode="External"/><Relationship Id="rId14" Type="http://schemas.openxmlformats.org/officeDocument/2006/relationships/hyperlink" Target="https://ltiaas.com/compliance" TargetMode="External"/><Relationship Id="rId17" Type="http://schemas.openxmlformats.org/officeDocument/2006/relationships/hyperlink" Target="https://ltiaas.com/privacy-policy" TargetMode="External"/><Relationship Id="rId16" Type="http://schemas.openxmlformats.org/officeDocument/2006/relationships/hyperlink" Target="https://ltiaas.com/compliance" TargetMode="External"/><Relationship Id="rId19" Type="http://schemas.openxmlformats.org/officeDocument/2006/relationships/hyperlink" Target="https://cloud.google.com/security/compliance/soc-2" TargetMode="External"/><Relationship Id="rId18" Type="http://schemas.openxmlformats.org/officeDocument/2006/relationships/hyperlink" Target="https://ltiaas.com/compliance" TargetMode="Externa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30.67"/>
    <col customWidth="1" min="2" max="2" width="60.67"/>
    <col customWidth="1" min="3" max="26" width="6.67"/>
  </cols>
  <sheetData>
    <row r="1" ht="42.0" customHeight="1">
      <c r="A1" s="1"/>
      <c r="B1" s="2"/>
      <c r="C1" s="3"/>
      <c r="D1" s="4"/>
      <c r="E1" s="5"/>
      <c r="F1" s="6"/>
      <c r="G1" s="6"/>
      <c r="H1" s="6"/>
      <c r="I1" s="6"/>
      <c r="J1" s="6"/>
      <c r="K1" s="6"/>
      <c r="L1" s="6"/>
      <c r="M1" s="6"/>
      <c r="N1" s="6"/>
      <c r="O1" s="6"/>
      <c r="P1" s="6"/>
      <c r="Q1" s="6"/>
      <c r="R1" s="6"/>
      <c r="S1" s="6"/>
      <c r="T1" s="6"/>
      <c r="U1" s="6"/>
      <c r="V1" s="6"/>
      <c r="W1" s="6"/>
      <c r="X1" s="6"/>
      <c r="Y1" s="6"/>
      <c r="Z1" s="6"/>
    </row>
    <row r="2" ht="12.75" customHeight="1">
      <c r="A2" s="7"/>
      <c r="B2" s="8"/>
      <c r="C2" s="7"/>
      <c r="D2" s="9"/>
      <c r="E2" s="10"/>
      <c r="F2" s="6"/>
      <c r="G2" s="6"/>
      <c r="H2" s="6"/>
      <c r="I2" s="6"/>
      <c r="J2" s="6"/>
      <c r="K2" s="6"/>
      <c r="L2" s="6"/>
      <c r="M2" s="6"/>
      <c r="N2" s="6"/>
      <c r="O2" s="6"/>
      <c r="P2" s="6"/>
      <c r="Q2" s="6"/>
      <c r="R2" s="6"/>
      <c r="S2" s="6"/>
      <c r="T2" s="6"/>
      <c r="U2" s="6"/>
      <c r="V2" s="6"/>
      <c r="W2" s="6"/>
      <c r="X2" s="6"/>
      <c r="Y2" s="6"/>
      <c r="Z2" s="6"/>
    </row>
    <row r="3" ht="12.75" customHeight="1">
      <c r="A3" s="7"/>
      <c r="B3" s="8"/>
      <c r="C3" s="7"/>
      <c r="D3" s="9"/>
      <c r="E3" s="10"/>
      <c r="F3" s="6"/>
      <c r="G3" s="6"/>
      <c r="H3" s="6"/>
      <c r="I3" s="6"/>
      <c r="J3" s="6"/>
      <c r="K3" s="6"/>
      <c r="L3" s="6"/>
      <c r="M3" s="6"/>
      <c r="N3" s="6"/>
      <c r="O3" s="6"/>
      <c r="P3" s="6"/>
      <c r="Q3" s="6"/>
      <c r="R3" s="6"/>
      <c r="S3" s="6"/>
      <c r="T3" s="6"/>
      <c r="U3" s="6"/>
      <c r="V3" s="6"/>
      <c r="W3" s="6"/>
      <c r="X3" s="6"/>
      <c r="Y3" s="6"/>
      <c r="Z3" s="6"/>
    </row>
    <row r="4" ht="12.75" customHeight="1">
      <c r="A4" s="7"/>
      <c r="B4" s="8"/>
      <c r="C4" s="7"/>
      <c r="D4" s="9"/>
      <c r="E4" s="10"/>
      <c r="F4" s="6"/>
      <c r="G4" s="6"/>
      <c r="H4" s="6"/>
      <c r="I4" s="6"/>
      <c r="J4" s="6"/>
      <c r="K4" s="6"/>
      <c r="L4" s="6"/>
      <c r="M4" s="6"/>
      <c r="N4" s="6"/>
      <c r="O4" s="6"/>
      <c r="P4" s="6"/>
      <c r="Q4" s="6"/>
      <c r="R4" s="6"/>
      <c r="S4" s="6"/>
      <c r="T4" s="6"/>
      <c r="U4" s="6"/>
      <c r="V4" s="6"/>
      <c r="W4" s="6"/>
      <c r="X4" s="6"/>
      <c r="Y4" s="6"/>
      <c r="Z4" s="6"/>
    </row>
    <row r="5" ht="12.75" customHeight="1">
      <c r="A5" s="7"/>
      <c r="B5" s="8"/>
      <c r="C5" s="7"/>
      <c r="D5" s="9"/>
      <c r="E5" s="10"/>
      <c r="F5" s="6"/>
      <c r="G5" s="6"/>
      <c r="H5" s="6"/>
      <c r="I5" s="6"/>
      <c r="J5" s="6"/>
      <c r="K5" s="6"/>
      <c r="L5" s="6"/>
      <c r="M5" s="6"/>
      <c r="N5" s="6"/>
      <c r="O5" s="6"/>
      <c r="P5" s="6"/>
      <c r="Q5" s="6"/>
      <c r="R5" s="6"/>
      <c r="S5" s="6"/>
      <c r="T5" s="6"/>
      <c r="U5" s="6"/>
      <c r="V5" s="6"/>
      <c r="W5" s="6"/>
      <c r="X5" s="6"/>
      <c r="Y5" s="6"/>
      <c r="Z5" s="6"/>
    </row>
    <row r="6" ht="12.75" customHeight="1">
      <c r="A6" s="7"/>
      <c r="B6" s="8"/>
      <c r="C6" s="7"/>
      <c r="D6" s="9"/>
      <c r="E6" s="10"/>
      <c r="F6" s="6"/>
      <c r="G6" s="6"/>
      <c r="H6" s="6"/>
      <c r="I6" s="6"/>
      <c r="J6" s="6"/>
      <c r="K6" s="6"/>
      <c r="L6" s="6"/>
      <c r="M6" s="6"/>
      <c r="N6" s="6"/>
      <c r="O6" s="6"/>
      <c r="P6" s="6"/>
      <c r="Q6" s="6"/>
      <c r="R6" s="6"/>
      <c r="S6" s="6"/>
      <c r="T6" s="6"/>
      <c r="U6" s="6"/>
      <c r="V6" s="6"/>
      <c r="W6" s="6"/>
      <c r="X6" s="6"/>
      <c r="Y6" s="6"/>
      <c r="Z6" s="6"/>
    </row>
    <row r="7" ht="12.75" customHeight="1">
      <c r="A7" s="7"/>
      <c r="B7" s="8"/>
      <c r="C7" s="7"/>
      <c r="D7" s="9"/>
      <c r="E7" s="10"/>
      <c r="F7" s="6"/>
      <c r="G7" s="6"/>
      <c r="H7" s="6"/>
      <c r="I7" s="6"/>
      <c r="J7" s="6"/>
      <c r="K7" s="6"/>
      <c r="L7" s="6"/>
      <c r="M7" s="6"/>
      <c r="N7" s="6"/>
      <c r="O7" s="6"/>
      <c r="P7" s="6"/>
      <c r="Q7" s="6"/>
      <c r="R7" s="6"/>
      <c r="S7" s="6"/>
      <c r="T7" s="6"/>
      <c r="U7" s="6"/>
      <c r="V7" s="6"/>
      <c r="W7" s="6"/>
      <c r="X7" s="6"/>
      <c r="Y7" s="6"/>
      <c r="Z7" s="6"/>
    </row>
    <row r="8" ht="12.75" customHeight="1">
      <c r="A8" s="7"/>
      <c r="B8" s="8"/>
      <c r="C8" s="7"/>
      <c r="D8" s="9"/>
      <c r="E8" s="10"/>
      <c r="F8" s="6"/>
      <c r="G8" s="6"/>
      <c r="H8" s="6"/>
      <c r="I8" s="6"/>
      <c r="J8" s="6"/>
      <c r="K8" s="6"/>
      <c r="L8" s="6"/>
      <c r="M8" s="6"/>
      <c r="N8" s="6"/>
      <c r="O8" s="6"/>
      <c r="P8" s="6"/>
      <c r="Q8" s="6"/>
      <c r="R8" s="6"/>
      <c r="S8" s="6"/>
      <c r="T8" s="6"/>
      <c r="U8" s="6"/>
      <c r="V8" s="6"/>
      <c r="W8" s="6"/>
      <c r="X8" s="6"/>
      <c r="Y8" s="6"/>
      <c r="Z8" s="6"/>
    </row>
    <row r="9" ht="12.75" customHeight="1">
      <c r="A9" s="7"/>
      <c r="B9" s="8"/>
      <c r="C9" s="7"/>
      <c r="D9" s="9"/>
      <c r="E9" s="10"/>
      <c r="F9" s="6"/>
      <c r="G9" s="6"/>
      <c r="H9" s="6"/>
      <c r="I9" s="6"/>
      <c r="J9" s="6"/>
      <c r="K9" s="6"/>
      <c r="L9" s="6"/>
      <c r="M9" s="6"/>
      <c r="N9" s="6"/>
      <c r="O9" s="6"/>
      <c r="P9" s="6"/>
      <c r="Q9" s="6"/>
      <c r="R9" s="6"/>
      <c r="S9" s="6"/>
      <c r="T9" s="6"/>
      <c r="U9" s="6"/>
      <c r="V9" s="6"/>
      <c r="W9" s="6"/>
      <c r="X9" s="6"/>
      <c r="Y9" s="6"/>
      <c r="Z9" s="6"/>
    </row>
    <row r="10" ht="12.75" customHeight="1">
      <c r="A10" s="7"/>
      <c r="B10" s="8"/>
      <c r="C10" s="7"/>
      <c r="D10" s="9"/>
      <c r="E10" s="10"/>
      <c r="F10" s="6"/>
      <c r="G10" s="6"/>
      <c r="H10" s="6"/>
      <c r="I10" s="6"/>
      <c r="J10" s="6"/>
      <c r="K10" s="6"/>
      <c r="L10" s="6"/>
      <c r="M10" s="6"/>
      <c r="N10" s="6"/>
      <c r="O10" s="6"/>
      <c r="P10" s="6"/>
      <c r="Q10" s="6"/>
      <c r="R10" s="6"/>
      <c r="S10" s="6"/>
      <c r="T10" s="6"/>
      <c r="U10" s="6"/>
      <c r="V10" s="6"/>
      <c r="W10" s="6"/>
      <c r="X10" s="6"/>
      <c r="Y10" s="6"/>
      <c r="Z10" s="6"/>
    </row>
    <row r="11" ht="12.75" customHeight="1">
      <c r="A11" s="7"/>
      <c r="B11" s="8"/>
      <c r="C11" s="7"/>
      <c r="D11" s="9"/>
      <c r="E11" s="10"/>
      <c r="F11" s="6"/>
      <c r="G11" s="6"/>
      <c r="H11" s="6"/>
      <c r="I11" s="6"/>
      <c r="J11" s="6"/>
      <c r="K11" s="6"/>
      <c r="L11" s="6"/>
      <c r="M11" s="6"/>
      <c r="N11" s="6"/>
      <c r="O11" s="6"/>
      <c r="P11" s="6"/>
      <c r="Q11" s="6"/>
      <c r="R11" s="6"/>
      <c r="S11" s="6"/>
      <c r="T11" s="6"/>
      <c r="U11" s="6"/>
      <c r="V11" s="6"/>
      <c r="W11" s="6"/>
      <c r="X11" s="6"/>
      <c r="Y11" s="6"/>
      <c r="Z11" s="6"/>
    </row>
    <row r="12" ht="12.75" customHeight="1">
      <c r="A12" s="7"/>
      <c r="B12" s="8"/>
      <c r="C12" s="7"/>
      <c r="D12" s="9"/>
      <c r="E12" s="10"/>
      <c r="F12" s="6"/>
      <c r="G12" s="6"/>
      <c r="H12" s="6"/>
      <c r="I12" s="6"/>
      <c r="J12" s="6"/>
      <c r="K12" s="6"/>
      <c r="L12" s="6"/>
      <c r="M12" s="6"/>
      <c r="N12" s="6"/>
      <c r="O12" s="6"/>
      <c r="P12" s="6"/>
      <c r="Q12" s="6"/>
      <c r="R12" s="6"/>
      <c r="S12" s="6"/>
      <c r="T12" s="6"/>
      <c r="U12" s="6"/>
      <c r="V12" s="6"/>
      <c r="W12" s="6"/>
      <c r="X12" s="6"/>
      <c r="Y12" s="6"/>
      <c r="Z12" s="6"/>
    </row>
    <row r="13" ht="12.75" customHeight="1">
      <c r="A13" s="7"/>
      <c r="B13" s="8"/>
      <c r="C13" s="7"/>
      <c r="D13" s="9"/>
      <c r="E13" s="10"/>
      <c r="F13" s="6"/>
      <c r="G13" s="6"/>
      <c r="H13" s="6"/>
      <c r="I13" s="6"/>
      <c r="J13" s="6"/>
      <c r="K13" s="6"/>
      <c r="L13" s="6"/>
      <c r="M13" s="6"/>
      <c r="N13" s="6"/>
      <c r="O13" s="6"/>
      <c r="P13" s="6"/>
      <c r="Q13" s="6"/>
      <c r="R13" s="6"/>
      <c r="S13" s="6"/>
      <c r="T13" s="6"/>
      <c r="U13" s="6"/>
      <c r="V13" s="6"/>
      <c r="W13" s="6"/>
      <c r="X13" s="6"/>
      <c r="Y13" s="6"/>
      <c r="Z13" s="6"/>
    </row>
    <row r="14" ht="12.75" customHeight="1">
      <c r="A14" s="7"/>
      <c r="B14" s="8"/>
      <c r="C14" s="7"/>
      <c r="D14" s="9"/>
      <c r="E14" s="10"/>
      <c r="F14" s="6"/>
      <c r="G14" s="6"/>
      <c r="H14" s="6"/>
      <c r="I14" s="6"/>
      <c r="J14" s="6"/>
      <c r="K14" s="6"/>
      <c r="L14" s="6"/>
      <c r="M14" s="6"/>
      <c r="N14" s="6"/>
      <c r="O14" s="6"/>
      <c r="P14" s="6"/>
      <c r="Q14" s="6"/>
      <c r="R14" s="6"/>
      <c r="S14" s="6"/>
      <c r="T14" s="6"/>
      <c r="U14" s="6"/>
      <c r="V14" s="6"/>
      <c r="W14" s="6"/>
      <c r="X14" s="6"/>
      <c r="Y14" s="6"/>
      <c r="Z14" s="6"/>
    </row>
    <row r="15" ht="12.75" customHeight="1">
      <c r="A15" s="7"/>
      <c r="B15" s="8"/>
      <c r="C15" s="7"/>
      <c r="D15" s="9"/>
      <c r="E15" s="10"/>
      <c r="F15" s="6"/>
      <c r="G15" s="6"/>
      <c r="H15" s="6"/>
      <c r="I15" s="6"/>
      <c r="J15" s="6"/>
      <c r="K15" s="6"/>
      <c r="L15" s="6"/>
      <c r="M15" s="6"/>
      <c r="N15" s="6"/>
      <c r="O15" s="6"/>
      <c r="P15" s="6"/>
      <c r="Q15" s="6"/>
      <c r="R15" s="6"/>
      <c r="S15" s="6"/>
      <c r="T15" s="6"/>
      <c r="U15" s="6"/>
      <c r="V15" s="6"/>
      <c r="W15" s="6"/>
      <c r="X15" s="6"/>
      <c r="Y15" s="6"/>
      <c r="Z15" s="6"/>
    </row>
    <row r="16" ht="12.75" customHeight="1">
      <c r="A16" s="7"/>
      <c r="B16" s="8"/>
      <c r="C16" s="7"/>
      <c r="D16" s="9"/>
      <c r="E16" s="10"/>
      <c r="F16" s="6"/>
      <c r="G16" s="6"/>
      <c r="H16" s="6"/>
      <c r="I16" s="6"/>
      <c r="J16" s="6"/>
      <c r="K16" s="6"/>
      <c r="L16" s="6"/>
      <c r="M16" s="6"/>
      <c r="N16" s="6"/>
      <c r="O16" s="6"/>
      <c r="P16" s="6"/>
      <c r="Q16" s="6"/>
      <c r="R16" s="6"/>
      <c r="S16" s="6"/>
      <c r="T16" s="6"/>
      <c r="U16" s="6"/>
      <c r="V16" s="6"/>
      <c r="W16" s="6"/>
      <c r="X16" s="6"/>
      <c r="Y16" s="6"/>
      <c r="Z16" s="6"/>
    </row>
    <row r="17" ht="12.75" customHeight="1">
      <c r="A17" s="7"/>
      <c r="B17" s="8"/>
      <c r="C17" s="7"/>
      <c r="D17" s="9"/>
      <c r="E17" s="10"/>
      <c r="F17" s="6"/>
      <c r="G17" s="6"/>
      <c r="H17" s="6"/>
      <c r="I17" s="6"/>
      <c r="J17" s="6"/>
      <c r="K17" s="6"/>
      <c r="L17" s="6"/>
      <c r="M17" s="6"/>
      <c r="N17" s="6"/>
      <c r="O17" s="6"/>
      <c r="P17" s="6"/>
      <c r="Q17" s="6"/>
      <c r="R17" s="6"/>
      <c r="S17" s="6"/>
      <c r="T17" s="6"/>
      <c r="U17" s="6"/>
      <c r="V17" s="6"/>
      <c r="W17" s="6"/>
      <c r="X17" s="6"/>
      <c r="Y17" s="6"/>
      <c r="Z17" s="6"/>
    </row>
    <row r="18" ht="12.75" customHeight="1">
      <c r="A18" s="7"/>
      <c r="B18" s="8"/>
      <c r="C18" s="7"/>
      <c r="D18" s="9"/>
      <c r="E18" s="10"/>
      <c r="F18" s="6"/>
      <c r="G18" s="6"/>
      <c r="H18" s="6"/>
      <c r="I18" s="6"/>
      <c r="J18" s="6"/>
      <c r="K18" s="6"/>
      <c r="L18" s="6"/>
      <c r="M18" s="6"/>
      <c r="N18" s="6"/>
      <c r="O18" s="6"/>
      <c r="P18" s="6"/>
      <c r="Q18" s="6"/>
      <c r="R18" s="6"/>
      <c r="S18" s="6"/>
      <c r="T18" s="6"/>
      <c r="U18" s="6"/>
      <c r="V18" s="6"/>
      <c r="W18" s="6"/>
      <c r="X18" s="6"/>
      <c r="Y18" s="6"/>
      <c r="Z18" s="6"/>
    </row>
    <row r="19" ht="12.75" customHeight="1">
      <c r="A19" s="7"/>
      <c r="B19" s="8"/>
      <c r="C19" s="7"/>
      <c r="D19" s="9"/>
      <c r="E19" s="10"/>
      <c r="F19" s="6"/>
      <c r="G19" s="6"/>
      <c r="H19" s="6"/>
      <c r="I19" s="6"/>
      <c r="J19" s="6"/>
      <c r="K19" s="6"/>
      <c r="L19" s="6"/>
      <c r="M19" s="6"/>
      <c r="N19" s="6"/>
      <c r="O19" s="6"/>
      <c r="P19" s="6"/>
      <c r="Q19" s="6"/>
      <c r="R19" s="6"/>
      <c r="S19" s="6"/>
      <c r="T19" s="6"/>
      <c r="U19" s="6"/>
      <c r="V19" s="6"/>
      <c r="W19" s="6"/>
      <c r="X19" s="6"/>
      <c r="Y19" s="6"/>
      <c r="Z19" s="6"/>
    </row>
    <row r="20" ht="12.75" customHeight="1">
      <c r="A20" s="7"/>
      <c r="B20" s="8"/>
      <c r="C20" s="7"/>
      <c r="D20" s="9"/>
      <c r="E20" s="10"/>
      <c r="F20" s="6"/>
      <c r="G20" s="6"/>
      <c r="H20" s="6"/>
      <c r="I20" s="6"/>
      <c r="J20" s="6"/>
      <c r="K20" s="6"/>
      <c r="L20" s="6"/>
      <c r="M20" s="6"/>
      <c r="N20" s="6"/>
      <c r="O20" s="6"/>
      <c r="P20" s="6"/>
      <c r="Q20" s="6"/>
      <c r="R20" s="6"/>
      <c r="S20" s="6"/>
      <c r="T20" s="6"/>
      <c r="U20" s="6"/>
      <c r="V20" s="6"/>
      <c r="W20" s="6"/>
      <c r="X20" s="6"/>
      <c r="Y20" s="6"/>
      <c r="Z20" s="6"/>
    </row>
    <row r="21" ht="12.75" customHeight="1">
      <c r="A21" s="7"/>
      <c r="B21" s="8"/>
      <c r="C21" s="7"/>
      <c r="D21" s="9"/>
      <c r="E21" s="10"/>
      <c r="F21" s="6"/>
      <c r="G21" s="6"/>
      <c r="H21" s="6"/>
      <c r="I21" s="6"/>
      <c r="J21" s="6"/>
      <c r="K21" s="6"/>
      <c r="L21" s="6"/>
      <c r="M21" s="6"/>
      <c r="N21" s="6"/>
      <c r="O21" s="6"/>
      <c r="P21" s="6"/>
      <c r="Q21" s="6"/>
      <c r="R21" s="6"/>
      <c r="S21" s="6"/>
      <c r="T21" s="6"/>
      <c r="U21" s="6"/>
      <c r="V21" s="6"/>
      <c r="W21" s="6"/>
      <c r="X21" s="6"/>
      <c r="Y21" s="6"/>
      <c r="Z21" s="6"/>
    </row>
    <row r="22" ht="12.75" customHeight="1">
      <c r="A22" s="7"/>
      <c r="B22" s="8"/>
      <c r="C22" s="7"/>
      <c r="D22" s="9"/>
      <c r="E22" s="10"/>
      <c r="F22" s="6"/>
      <c r="G22" s="6"/>
      <c r="H22" s="6"/>
      <c r="I22" s="6"/>
      <c r="J22" s="6"/>
      <c r="K22" s="6"/>
      <c r="L22" s="6"/>
      <c r="M22" s="6"/>
      <c r="N22" s="6"/>
      <c r="O22" s="6"/>
      <c r="P22" s="6"/>
      <c r="Q22" s="6"/>
      <c r="R22" s="6"/>
      <c r="S22" s="6"/>
      <c r="T22" s="6"/>
      <c r="U22" s="6"/>
      <c r="V22" s="6"/>
      <c r="W22" s="6"/>
      <c r="X22" s="6"/>
      <c r="Y22" s="6"/>
      <c r="Z22" s="6"/>
    </row>
    <row r="23" ht="12.75" customHeight="1">
      <c r="A23" s="7"/>
      <c r="B23" s="8"/>
      <c r="C23" s="7"/>
      <c r="D23" s="9"/>
      <c r="E23" s="10"/>
      <c r="F23" s="6"/>
      <c r="G23" s="6"/>
      <c r="H23" s="6"/>
      <c r="I23" s="6"/>
      <c r="J23" s="6"/>
      <c r="K23" s="6"/>
      <c r="L23" s="6"/>
      <c r="M23" s="6"/>
      <c r="N23" s="6"/>
      <c r="O23" s="6"/>
      <c r="P23" s="6"/>
      <c r="Q23" s="6"/>
      <c r="R23" s="6"/>
      <c r="S23" s="6"/>
      <c r="T23" s="6"/>
      <c r="U23" s="6"/>
      <c r="V23" s="6"/>
      <c r="W23" s="6"/>
      <c r="X23" s="6"/>
      <c r="Y23" s="6"/>
      <c r="Z23" s="6"/>
    </row>
    <row r="24" ht="12.75" customHeight="1">
      <c r="A24" s="7"/>
      <c r="B24" s="8"/>
      <c r="C24" s="7"/>
      <c r="D24" s="9"/>
      <c r="E24" s="10"/>
      <c r="F24" s="6"/>
      <c r="G24" s="6"/>
      <c r="H24" s="6"/>
      <c r="I24" s="6"/>
      <c r="J24" s="6"/>
      <c r="K24" s="6"/>
      <c r="L24" s="6"/>
      <c r="M24" s="6"/>
      <c r="N24" s="6"/>
      <c r="O24" s="6"/>
      <c r="P24" s="6"/>
      <c r="Q24" s="6"/>
      <c r="R24" s="6"/>
      <c r="S24" s="6"/>
      <c r="T24" s="6"/>
      <c r="U24" s="6"/>
      <c r="V24" s="6"/>
      <c r="W24" s="6"/>
      <c r="X24" s="6"/>
      <c r="Y24" s="6"/>
      <c r="Z24" s="6"/>
    </row>
    <row r="25" ht="12.75" customHeight="1">
      <c r="A25" s="7"/>
      <c r="B25" s="8"/>
      <c r="C25" s="7"/>
      <c r="D25" s="9"/>
      <c r="E25" s="10"/>
      <c r="F25" s="6"/>
      <c r="G25" s="6"/>
      <c r="H25" s="6"/>
      <c r="I25" s="6"/>
      <c r="J25" s="6"/>
      <c r="K25" s="6"/>
      <c r="L25" s="6"/>
      <c r="M25" s="6"/>
      <c r="N25" s="6"/>
      <c r="O25" s="6"/>
      <c r="P25" s="6"/>
      <c r="Q25" s="6"/>
      <c r="R25" s="6"/>
      <c r="S25" s="6"/>
      <c r="T25" s="6"/>
      <c r="U25" s="6"/>
      <c r="V25" s="6"/>
      <c r="W25" s="6"/>
      <c r="X25" s="6"/>
      <c r="Y25" s="6"/>
      <c r="Z25" s="6"/>
    </row>
    <row r="26" ht="12.75" customHeight="1">
      <c r="A26" s="7"/>
      <c r="B26" s="8"/>
      <c r="C26" s="7"/>
      <c r="D26" s="9"/>
      <c r="E26" s="10"/>
      <c r="F26" s="6"/>
      <c r="G26" s="6"/>
      <c r="H26" s="6"/>
      <c r="I26" s="6"/>
      <c r="J26" s="6"/>
      <c r="K26" s="6"/>
      <c r="L26" s="6"/>
      <c r="M26" s="6"/>
      <c r="N26" s="6"/>
      <c r="O26" s="6"/>
      <c r="P26" s="6"/>
      <c r="Q26" s="6"/>
      <c r="R26" s="6"/>
      <c r="S26" s="6"/>
      <c r="T26" s="6"/>
      <c r="U26" s="6"/>
      <c r="V26" s="6"/>
      <c r="W26" s="6"/>
      <c r="X26" s="6"/>
      <c r="Y26" s="6"/>
      <c r="Z26" s="6"/>
    </row>
    <row r="27" ht="12.75" customHeight="1">
      <c r="A27" s="7"/>
      <c r="B27" s="8"/>
      <c r="C27" s="7"/>
      <c r="D27" s="9"/>
      <c r="E27" s="10"/>
      <c r="F27" s="6"/>
      <c r="G27" s="6"/>
      <c r="H27" s="6"/>
      <c r="I27" s="6"/>
      <c r="J27" s="6"/>
      <c r="K27" s="6"/>
      <c r="L27" s="6"/>
      <c r="M27" s="6"/>
      <c r="N27" s="6"/>
      <c r="O27" s="6"/>
      <c r="P27" s="6"/>
      <c r="Q27" s="6"/>
      <c r="R27" s="6"/>
      <c r="S27" s="6"/>
      <c r="T27" s="6"/>
      <c r="U27" s="6"/>
      <c r="V27" s="6"/>
      <c r="W27" s="6"/>
      <c r="X27" s="6"/>
      <c r="Y27" s="6"/>
      <c r="Z27" s="6"/>
    </row>
    <row r="28" ht="12.75" customHeight="1">
      <c r="A28" s="7"/>
      <c r="B28" s="8"/>
      <c r="C28" s="7"/>
      <c r="D28" s="9"/>
      <c r="E28" s="10"/>
      <c r="F28" s="6"/>
      <c r="G28" s="6"/>
      <c r="H28" s="6"/>
      <c r="I28" s="6"/>
      <c r="J28" s="6"/>
      <c r="K28" s="6"/>
      <c r="L28" s="6"/>
      <c r="M28" s="6"/>
      <c r="N28" s="6"/>
      <c r="O28" s="6"/>
      <c r="P28" s="6"/>
      <c r="Q28" s="6"/>
      <c r="R28" s="6"/>
      <c r="S28" s="6"/>
      <c r="T28" s="6"/>
      <c r="U28" s="6"/>
      <c r="V28" s="6"/>
      <c r="W28" s="6"/>
      <c r="X28" s="6"/>
      <c r="Y28" s="6"/>
      <c r="Z28" s="6"/>
    </row>
    <row r="29" ht="12.75" customHeight="1">
      <c r="A29" s="7"/>
      <c r="B29" s="8"/>
      <c r="C29" s="7"/>
      <c r="D29" s="9"/>
      <c r="E29" s="10"/>
      <c r="F29" s="6"/>
      <c r="G29" s="6"/>
      <c r="H29" s="6"/>
      <c r="I29" s="6"/>
      <c r="J29" s="6"/>
      <c r="K29" s="6"/>
      <c r="L29" s="6"/>
      <c r="M29" s="6"/>
      <c r="N29" s="6"/>
      <c r="O29" s="6"/>
      <c r="P29" s="6"/>
      <c r="Q29" s="6"/>
      <c r="R29" s="6"/>
      <c r="S29" s="6"/>
      <c r="T29" s="6"/>
      <c r="U29" s="6"/>
      <c r="V29" s="6"/>
      <c r="W29" s="6"/>
      <c r="X29" s="6"/>
      <c r="Y29" s="6"/>
      <c r="Z29" s="6"/>
    </row>
    <row r="30" ht="12.75" customHeight="1">
      <c r="A30" s="7"/>
      <c r="B30" s="8"/>
      <c r="C30" s="7"/>
      <c r="D30" s="9"/>
      <c r="E30" s="10"/>
      <c r="F30" s="6"/>
      <c r="G30" s="6"/>
      <c r="H30" s="6"/>
      <c r="I30" s="6"/>
      <c r="J30" s="6"/>
      <c r="K30" s="6"/>
      <c r="L30" s="6"/>
      <c r="M30" s="6"/>
      <c r="N30" s="6"/>
      <c r="O30" s="6"/>
      <c r="P30" s="6"/>
      <c r="Q30" s="6"/>
      <c r="R30" s="6"/>
      <c r="S30" s="6"/>
      <c r="T30" s="6"/>
      <c r="U30" s="6"/>
      <c r="V30" s="6"/>
      <c r="W30" s="6"/>
      <c r="X30" s="6"/>
      <c r="Y30" s="6"/>
      <c r="Z30" s="6"/>
    </row>
    <row r="31" ht="12.75" customHeight="1">
      <c r="A31" s="7"/>
      <c r="B31" s="8"/>
      <c r="C31" s="7"/>
      <c r="D31" s="9"/>
      <c r="E31" s="10"/>
      <c r="F31" s="6"/>
      <c r="G31" s="6"/>
      <c r="H31" s="6"/>
      <c r="I31" s="6"/>
      <c r="J31" s="6"/>
      <c r="K31" s="6"/>
      <c r="L31" s="6"/>
      <c r="M31" s="6"/>
      <c r="N31" s="6"/>
      <c r="O31" s="6"/>
      <c r="P31" s="6"/>
      <c r="Q31" s="6"/>
      <c r="R31" s="6"/>
      <c r="S31" s="6"/>
      <c r="T31" s="6"/>
      <c r="U31" s="6"/>
      <c r="V31" s="6"/>
      <c r="W31" s="6"/>
      <c r="X31" s="6"/>
      <c r="Y31" s="6"/>
      <c r="Z31" s="6"/>
    </row>
    <row r="32" ht="12.75" customHeight="1">
      <c r="A32" s="7"/>
      <c r="B32" s="8"/>
      <c r="C32" s="7"/>
      <c r="D32" s="9"/>
      <c r="E32" s="10"/>
      <c r="F32" s="6"/>
      <c r="G32" s="6"/>
      <c r="H32" s="6"/>
      <c r="I32" s="6"/>
      <c r="J32" s="6"/>
      <c r="K32" s="6"/>
      <c r="L32" s="6"/>
      <c r="M32" s="6"/>
      <c r="N32" s="6"/>
      <c r="O32" s="6"/>
      <c r="P32" s="6"/>
      <c r="Q32" s="6"/>
      <c r="R32" s="6"/>
      <c r="S32" s="6"/>
      <c r="T32" s="6"/>
      <c r="U32" s="6"/>
      <c r="V32" s="6"/>
      <c r="W32" s="6"/>
      <c r="X32" s="6"/>
      <c r="Y32" s="6"/>
      <c r="Z32" s="6"/>
    </row>
    <row r="33" ht="12.75" customHeight="1">
      <c r="A33" s="7"/>
      <c r="B33" s="8"/>
      <c r="C33" s="7"/>
      <c r="D33" s="9"/>
      <c r="E33" s="10"/>
      <c r="F33" s="6"/>
      <c r="G33" s="6"/>
      <c r="H33" s="6"/>
      <c r="I33" s="6"/>
      <c r="J33" s="6"/>
      <c r="K33" s="6"/>
      <c r="L33" s="6"/>
      <c r="M33" s="6"/>
      <c r="N33" s="6"/>
      <c r="O33" s="6"/>
      <c r="P33" s="6"/>
      <c r="Q33" s="6"/>
      <c r="R33" s="6"/>
      <c r="S33" s="6"/>
      <c r="T33" s="6"/>
      <c r="U33" s="6"/>
      <c r="V33" s="6"/>
      <c r="W33" s="6"/>
      <c r="X33" s="6"/>
      <c r="Y33" s="6"/>
      <c r="Z33" s="6"/>
    </row>
    <row r="34" ht="12.75" customHeight="1">
      <c r="A34" s="7"/>
      <c r="B34" s="8"/>
      <c r="C34" s="7"/>
      <c r="D34" s="9"/>
      <c r="E34" s="10"/>
      <c r="F34" s="6"/>
      <c r="G34" s="6"/>
      <c r="H34" s="6"/>
      <c r="I34" s="6"/>
      <c r="J34" s="6"/>
      <c r="K34" s="6"/>
      <c r="L34" s="6"/>
      <c r="M34" s="6"/>
      <c r="N34" s="6"/>
      <c r="O34" s="6"/>
      <c r="P34" s="6"/>
      <c r="Q34" s="6"/>
      <c r="R34" s="6"/>
      <c r="S34" s="6"/>
      <c r="T34" s="6"/>
      <c r="U34" s="6"/>
      <c r="V34" s="6"/>
      <c r="W34" s="6"/>
      <c r="X34" s="6"/>
      <c r="Y34" s="6"/>
      <c r="Z34" s="6"/>
    </row>
    <row r="35" ht="12.75" customHeight="1">
      <c r="A35" s="7"/>
      <c r="B35" s="8"/>
      <c r="C35" s="7"/>
      <c r="D35" s="9"/>
      <c r="E35" s="10"/>
      <c r="F35" s="6"/>
      <c r="G35" s="6"/>
      <c r="H35" s="6"/>
      <c r="I35" s="6"/>
      <c r="J35" s="6"/>
      <c r="K35" s="6"/>
      <c r="L35" s="6"/>
      <c r="M35" s="6"/>
      <c r="N35" s="6"/>
      <c r="O35" s="6"/>
      <c r="P35" s="6"/>
      <c r="Q35" s="6"/>
      <c r="R35" s="6"/>
      <c r="S35" s="6"/>
      <c r="T35" s="6"/>
      <c r="U35" s="6"/>
      <c r="V35" s="6"/>
      <c r="W35" s="6"/>
      <c r="X35" s="6"/>
      <c r="Y35" s="6"/>
      <c r="Z35" s="6"/>
    </row>
    <row r="36" ht="12.75" customHeight="1">
      <c r="A36" s="7"/>
      <c r="B36" s="8"/>
      <c r="C36" s="7"/>
      <c r="D36" s="9"/>
      <c r="E36" s="10"/>
      <c r="F36" s="6"/>
      <c r="G36" s="6"/>
      <c r="H36" s="6"/>
      <c r="I36" s="6"/>
      <c r="J36" s="6"/>
      <c r="K36" s="6"/>
      <c r="L36" s="6"/>
      <c r="M36" s="6"/>
      <c r="N36" s="6"/>
      <c r="O36" s="6"/>
      <c r="P36" s="6"/>
      <c r="Q36" s="6"/>
      <c r="R36" s="6"/>
      <c r="S36" s="6"/>
      <c r="T36" s="6"/>
      <c r="U36" s="6"/>
      <c r="V36" s="6"/>
      <c r="W36" s="6"/>
      <c r="X36" s="6"/>
      <c r="Y36" s="6"/>
      <c r="Z36" s="6"/>
    </row>
    <row r="37" ht="12.75" customHeight="1">
      <c r="A37" s="7"/>
      <c r="B37" s="8"/>
      <c r="C37" s="7"/>
      <c r="D37" s="9"/>
      <c r="E37" s="10"/>
      <c r="F37" s="6"/>
      <c r="G37" s="6"/>
      <c r="H37" s="6"/>
      <c r="I37" s="6"/>
      <c r="J37" s="6"/>
      <c r="K37" s="6"/>
      <c r="L37" s="6"/>
      <c r="M37" s="6"/>
      <c r="N37" s="6"/>
      <c r="O37" s="6"/>
      <c r="P37" s="6"/>
      <c r="Q37" s="6"/>
      <c r="R37" s="6"/>
      <c r="S37" s="6"/>
      <c r="T37" s="6"/>
      <c r="U37" s="6"/>
      <c r="V37" s="6"/>
      <c r="W37" s="6"/>
      <c r="X37" s="6"/>
      <c r="Y37" s="6"/>
      <c r="Z37" s="6"/>
    </row>
    <row r="38" ht="12.75" customHeight="1">
      <c r="A38" s="7"/>
      <c r="B38" s="8"/>
      <c r="C38" s="7"/>
      <c r="D38" s="9"/>
      <c r="E38" s="10"/>
      <c r="F38" s="6"/>
      <c r="G38" s="6"/>
      <c r="H38" s="6"/>
      <c r="I38" s="6"/>
      <c r="J38" s="6"/>
      <c r="K38" s="6"/>
      <c r="L38" s="6"/>
      <c r="M38" s="6"/>
      <c r="N38" s="6"/>
      <c r="O38" s="6"/>
      <c r="P38" s="6"/>
      <c r="Q38" s="6"/>
      <c r="R38" s="6"/>
      <c r="S38" s="6"/>
      <c r="T38" s="6"/>
      <c r="U38" s="6"/>
      <c r="V38" s="6"/>
      <c r="W38" s="6"/>
      <c r="X38" s="6"/>
      <c r="Y38" s="6"/>
      <c r="Z38" s="6"/>
    </row>
    <row r="39" ht="12.75" customHeight="1">
      <c r="A39" s="7"/>
      <c r="B39" s="8"/>
      <c r="C39" s="7"/>
      <c r="D39" s="9"/>
      <c r="E39" s="10"/>
      <c r="F39" s="6"/>
      <c r="G39" s="6"/>
      <c r="H39" s="6"/>
      <c r="I39" s="6"/>
      <c r="J39" s="6"/>
      <c r="K39" s="6"/>
      <c r="L39" s="6"/>
      <c r="M39" s="6"/>
      <c r="N39" s="6"/>
      <c r="O39" s="6"/>
      <c r="P39" s="6"/>
      <c r="Q39" s="6"/>
      <c r="R39" s="6"/>
      <c r="S39" s="6"/>
      <c r="T39" s="6"/>
      <c r="U39" s="6"/>
      <c r="V39" s="6"/>
      <c r="W39" s="6"/>
      <c r="X39" s="6"/>
      <c r="Y39" s="6"/>
      <c r="Z39" s="6"/>
    </row>
    <row r="40" ht="12.75" customHeight="1">
      <c r="A40" s="7"/>
      <c r="B40" s="8"/>
      <c r="C40" s="7"/>
      <c r="D40" s="9"/>
      <c r="E40" s="10"/>
      <c r="F40" s="6"/>
      <c r="G40" s="6"/>
      <c r="H40" s="6"/>
      <c r="I40" s="6"/>
      <c r="J40" s="6"/>
      <c r="K40" s="6"/>
      <c r="L40" s="6"/>
      <c r="M40" s="6"/>
      <c r="N40" s="6"/>
      <c r="O40" s="6"/>
      <c r="P40" s="6"/>
      <c r="Q40" s="6"/>
      <c r="R40" s="6"/>
      <c r="S40" s="6"/>
      <c r="T40" s="6"/>
      <c r="U40" s="6"/>
      <c r="V40" s="6"/>
      <c r="W40" s="6"/>
      <c r="X40" s="6"/>
      <c r="Y40" s="6"/>
      <c r="Z40" s="6"/>
    </row>
    <row r="41" ht="12.75" customHeight="1">
      <c r="A41" s="7"/>
      <c r="B41" s="8"/>
      <c r="C41" s="7"/>
      <c r="D41" s="9"/>
      <c r="E41" s="10"/>
      <c r="F41" s="6"/>
      <c r="G41" s="6"/>
      <c r="H41" s="6"/>
      <c r="I41" s="6"/>
      <c r="J41" s="6"/>
      <c r="K41" s="6"/>
      <c r="L41" s="6"/>
      <c r="M41" s="6"/>
      <c r="N41" s="6"/>
      <c r="O41" s="6"/>
      <c r="P41" s="6"/>
      <c r="Q41" s="6"/>
      <c r="R41" s="6"/>
      <c r="S41" s="6"/>
      <c r="T41" s="6"/>
      <c r="U41" s="6"/>
      <c r="V41" s="6"/>
      <c r="W41" s="6"/>
      <c r="X41" s="6"/>
      <c r="Y41" s="6"/>
      <c r="Z41" s="6"/>
    </row>
    <row r="42" ht="12.75" customHeight="1">
      <c r="A42" s="7"/>
      <c r="B42" s="8"/>
      <c r="C42" s="7"/>
      <c r="D42" s="9"/>
      <c r="E42" s="10"/>
      <c r="F42" s="6"/>
      <c r="G42" s="6"/>
      <c r="H42" s="6"/>
      <c r="I42" s="6"/>
      <c r="J42" s="6"/>
      <c r="K42" s="6"/>
      <c r="L42" s="6"/>
      <c r="M42" s="6"/>
      <c r="N42" s="6"/>
      <c r="O42" s="6"/>
      <c r="P42" s="6"/>
      <c r="Q42" s="6"/>
      <c r="R42" s="6"/>
      <c r="S42" s="6"/>
      <c r="T42" s="6"/>
      <c r="U42" s="6"/>
      <c r="V42" s="6"/>
      <c r="W42" s="6"/>
      <c r="X42" s="6"/>
      <c r="Y42" s="6"/>
      <c r="Z42" s="6"/>
    </row>
    <row r="43" ht="12.75" customHeight="1">
      <c r="A43" s="7"/>
      <c r="B43" s="8"/>
      <c r="C43" s="7"/>
      <c r="D43" s="9"/>
      <c r="E43" s="10"/>
      <c r="F43" s="6"/>
      <c r="G43" s="6"/>
      <c r="H43" s="6"/>
      <c r="I43" s="6"/>
      <c r="J43" s="6"/>
      <c r="K43" s="6"/>
      <c r="L43" s="6"/>
      <c r="M43" s="6"/>
      <c r="N43" s="6"/>
      <c r="O43" s="6"/>
      <c r="P43" s="6"/>
      <c r="Q43" s="6"/>
      <c r="R43" s="6"/>
      <c r="S43" s="6"/>
      <c r="T43" s="6"/>
      <c r="U43" s="6"/>
      <c r="V43" s="6"/>
      <c r="W43" s="6"/>
      <c r="X43" s="6"/>
      <c r="Y43" s="6"/>
      <c r="Z43" s="6"/>
    </row>
    <row r="44" ht="12.75" customHeight="1">
      <c r="A44" s="7"/>
      <c r="B44" s="8"/>
      <c r="C44" s="7"/>
      <c r="D44" s="9"/>
      <c r="E44" s="10"/>
      <c r="F44" s="6"/>
      <c r="G44" s="6"/>
      <c r="H44" s="6"/>
      <c r="I44" s="6"/>
      <c r="J44" s="6"/>
      <c r="K44" s="6"/>
      <c r="L44" s="6"/>
      <c r="M44" s="6"/>
      <c r="N44" s="6"/>
      <c r="O44" s="6"/>
      <c r="P44" s="6"/>
      <c r="Q44" s="6"/>
      <c r="R44" s="6"/>
      <c r="S44" s="6"/>
      <c r="T44" s="6"/>
      <c r="U44" s="6"/>
      <c r="V44" s="6"/>
      <c r="W44" s="6"/>
      <c r="X44" s="6"/>
      <c r="Y44" s="6"/>
      <c r="Z44" s="6"/>
    </row>
    <row r="45" ht="12.75" customHeight="1">
      <c r="A45" s="7"/>
      <c r="B45" s="8"/>
      <c r="C45" s="7"/>
      <c r="D45" s="9"/>
      <c r="E45" s="10"/>
      <c r="F45" s="6"/>
      <c r="G45" s="6"/>
      <c r="H45" s="6"/>
      <c r="I45" s="6"/>
      <c r="J45" s="6"/>
      <c r="K45" s="6"/>
      <c r="L45" s="6"/>
      <c r="M45" s="6"/>
      <c r="N45" s="6"/>
      <c r="O45" s="6"/>
      <c r="P45" s="6"/>
      <c r="Q45" s="6"/>
      <c r="R45" s="6"/>
      <c r="S45" s="6"/>
      <c r="T45" s="6"/>
      <c r="U45" s="6"/>
      <c r="V45" s="6"/>
      <c r="W45" s="6"/>
      <c r="X45" s="6"/>
      <c r="Y45" s="6"/>
      <c r="Z45" s="6"/>
    </row>
    <row r="46" ht="12.75" customHeight="1">
      <c r="A46" s="7"/>
      <c r="B46" s="8"/>
      <c r="C46" s="7"/>
      <c r="D46" s="9"/>
      <c r="E46" s="10"/>
      <c r="F46" s="6"/>
      <c r="G46" s="6"/>
      <c r="H46" s="6"/>
      <c r="I46" s="6"/>
      <c r="J46" s="6"/>
      <c r="K46" s="6"/>
      <c r="L46" s="6"/>
      <c r="M46" s="6"/>
      <c r="N46" s="6"/>
      <c r="O46" s="6"/>
      <c r="P46" s="6"/>
      <c r="Q46" s="6"/>
      <c r="R46" s="6"/>
      <c r="S46" s="6"/>
      <c r="T46" s="6"/>
      <c r="U46" s="6"/>
      <c r="V46" s="6"/>
      <c r="W46" s="6"/>
      <c r="X46" s="6"/>
      <c r="Y46" s="6"/>
      <c r="Z46" s="6"/>
    </row>
    <row r="47" ht="12.75" customHeight="1">
      <c r="A47" s="7"/>
      <c r="B47" s="8"/>
      <c r="C47" s="7"/>
      <c r="D47" s="9"/>
      <c r="E47" s="10"/>
      <c r="F47" s="6"/>
      <c r="G47" s="6"/>
      <c r="H47" s="6"/>
      <c r="I47" s="6"/>
      <c r="J47" s="6"/>
      <c r="K47" s="6"/>
      <c r="L47" s="6"/>
      <c r="M47" s="6"/>
      <c r="N47" s="6"/>
      <c r="O47" s="6"/>
      <c r="P47" s="6"/>
      <c r="Q47" s="6"/>
      <c r="R47" s="6"/>
      <c r="S47" s="6"/>
      <c r="T47" s="6"/>
      <c r="U47" s="6"/>
      <c r="V47" s="6"/>
      <c r="W47" s="6"/>
      <c r="X47" s="6"/>
      <c r="Y47" s="6"/>
      <c r="Z47" s="6"/>
    </row>
    <row r="48" ht="12.75" customHeight="1">
      <c r="A48" s="7"/>
      <c r="B48" s="8"/>
      <c r="C48" s="7"/>
      <c r="D48" s="9"/>
      <c r="E48" s="10"/>
      <c r="F48" s="6"/>
      <c r="G48" s="6"/>
      <c r="H48" s="6"/>
      <c r="I48" s="6"/>
      <c r="J48" s="6"/>
      <c r="K48" s="6"/>
      <c r="L48" s="6"/>
      <c r="M48" s="6"/>
      <c r="N48" s="6"/>
      <c r="O48" s="6"/>
      <c r="P48" s="6"/>
      <c r="Q48" s="6"/>
      <c r="R48" s="6"/>
      <c r="S48" s="6"/>
      <c r="T48" s="6"/>
      <c r="U48" s="6"/>
      <c r="V48" s="6"/>
      <c r="W48" s="6"/>
      <c r="X48" s="6"/>
      <c r="Y48" s="6"/>
      <c r="Z48" s="6"/>
    </row>
    <row r="49" ht="12.75" customHeight="1">
      <c r="A49" s="7"/>
      <c r="B49" s="8"/>
      <c r="C49" s="7"/>
      <c r="D49" s="9"/>
      <c r="E49" s="10"/>
      <c r="F49" s="6"/>
      <c r="G49" s="6"/>
      <c r="H49" s="6"/>
      <c r="I49" s="6"/>
      <c r="J49" s="6"/>
      <c r="K49" s="6"/>
      <c r="L49" s="6"/>
      <c r="M49" s="6"/>
      <c r="N49" s="6"/>
      <c r="O49" s="6"/>
      <c r="P49" s="6"/>
      <c r="Q49" s="6"/>
      <c r="R49" s="6"/>
      <c r="S49" s="6"/>
      <c r="T49" s="6"/>
      <c r="U49" s="6"/>
      <c r="V49" s="6"/>
      <c r="W49" s="6"/>
      <c r="X49" s="6"/>
      <c r="Y49" s="6"/>
      <c r="Z49" s="6"/>
    </row>
    <row r="50" ht="12.75" customHeight="1">
      <c r="A50" s="7"/>
      <c r="B50" s="8"/>
      <c r="C50" s="7"/>
      <c r="D50" s="9"/>
      <c r="E50" s="10"/>
      <c r="F50" s="6"/>
      <c r="G50" s="6"/>
      <c r="H50" s="6"/>
      <c r="I50" s="6"/>
      <c r="J50" s="6"/>
      <c r="K50" s="6"/>
      <c r="L50" s="6"/>
      <c r="M50" s="6"/>
      <c r="N50" s="6"/>
      <c r="O50" s="6"/>
      <c r="P50" s="6"/>
      <c r="Q50" s="6"/>
      <c r="R50" s="6"/>
      <c r="S50" s="6"/>
      <c r="T50" s="6"/>
      <c r="U50" s="6"/>
      <c r="V50" s="6"/>
      <c r="W50" s="6"/>
      <c r="X50" s="6"/>
      <c r="Y50" s="6"/>
      <c r="Z50" s="6"/>
    </row>
    <row r="51" ht="12.75" customHeight="1">
      <c r="A51" s="7"/>
      <c r="B51" s="8"/>
      <c r="C51" s="7"/>
      <c r="D51" s="9"/>
      <c r="E51" s="10"/>
      <c r="F51" s="6"/>
      <c r="G51" s="6"/>
      <c r="H51" s="6"/>
      <c r="I51" s="6"/>
      <c r="J51" s="6"/>
      <c r="K51" s="6"/>
      <c r="L51" s="6"/>
      <c r="M51" s="6"/>
      <c r="N51" s="6"/>
      <c r="O51" s="6"/>
      <c r="P51" s="6"/>
      <c r="Q51" s="6"/>
      <c r="R51" s="6"/>
      <c r="S51" s="6"/>
      <c r="T51" s="6"/>
      <c r="U51" s="6"/>
      <c r="V51" s="6"/>
      <c r="W51" s="6"/>
      <c r="X51" s="6"/>
      <c r="Y51" s="6"/>
      <c r="Z51" s="6"/>
    </row>
    <row r="52" ht="12.75" customHeight="1">
      <c r="A52" s="7"/>
      <c r="B52" s="8"/>
      <c r="C52" s="7"/>
      <c r="D52" s="9"/>
      <c r="E52" s="10"/>
      <c r="F52" s="6"/>
      <c r="G52" s="6"/>
      <c r="H52" s="6"/>
      <c r="I52" s="6"/>
      <c r="J52" s="6"/>
      <c r="K52" s="6"/>
      <c r="L52" s="6"/>
      <c r="M52" s="6"/>
      <c r="N52" s="6"/>
      <c r="O52" s="6"/>
      <c r="P52" s="6"/>
      <c r="Q52" s="6"/>
      <c r="R52" s="6"/>
      <c r="S52" s="6"/>
      <c r="T52" s="6"/>
      <c r="U52" s="6"/>
      <c r="V52" s="6"/>
      <c r="W52" s="6"/>
      <c r="X52" s="6"/>
      <c r="Y52" s="6"/>
      <c r="Z52" s="6"/>
    </row>
    <row r="53" ht="12.75" customHeight="1">
      <c r="A53" s="7"/>
      <c r="B53" s="8"/>
      <c r="C53" s="7"/>
      <c r="D53" s="9"/>
      <c r="E53" s="10"/>
      <c r="F53" s="6"/>
      <c r="G53" s="6"/>
      <c r="H53" s="6"/>
      <c r="I53" s="6"/>
      <c r="J53" s="6"/>
      <c r="K53" s="6"/>
      <c r="L53" s="6"/>
      <c r="M53" s="6"/>
      <c r="N53" s="6"/>
      <c r="O53" s="6"/>
      <c r="P53" s="6"/>
      <c r="Q53" s="6"/>
      <c r="R53" s="6"/>
      <c r="S53" s="6"/>
      <c r="T53" s="6"/>
      <c r="U53" s="6"/>
      <c r="V53" s="6"/>
      <c r="W53" s="6"/>
      <c r="X53" s="6"/>
      <c r="Y53" s="6"/>
      <c r="Z53" s="6"/>
    </row>
    <row r="54" ht="45.0" customHeight="1">
      <c r="A54" s="11"/>
      <c r="B54" s="12"/>
      <c r="C54" s="7"/>
      <c r="D54" s="9"/>
      <c r="E54" s="10"/>
      <c r="F54" s="6"/>
      <c r="G54" s="6"/>
      <c r="H54" s="6"/>
      <c r="I54" s="6"/>
      <c r="J54" s="6"/>
      <c r="K54" s="6"/>
      <c r="L54" s="6"/>
      <c r="M54" s="6"/>
      <c r="N54" s="6"/>
      <c r="O54" s="6"/>
      <c r="P54" s="6"/>
      <c r="Q54" s="6"/>
      <c r="R54" s="6"/>
      <c r="S54" s="6"/>
      <c r="T54" s="6"/>
      <c r="U54" s="6"/>
      <c r="V54" s="6"/>
      <c r="W54" s="6"/>
      <c r="X54" s="6"/>
      <c r="Y54" s="6"/>
      <c r="Z54" s="6"/>
    </row>
    <row r="55" ht="36.0" customHeight="1">
      <c r="A55" s="13" t="s">
        <v>0</v>
      </c>
      <c r="B55" s="14"/>
      <c r="C55" s="15"/>
      <c r="D55" s="16"/>
      <c r="E55" s="17"/>
      <c r="F55" s="6"/>
      <c r="G55" s="6"/>
      <c r="H55" s="6"/>
      <c r="I55" s="6"/>
      <c r="J55" s="6"/>
      <c r="K55" s="6"/>
      <c r="L55" s="6"/>
      <c r="M55" s="6"/>
      <c r="N55" s="6"/>
      <c r="O55" s="6"/>
      <c r="P55" s="6"/>
      <c r="Q55" s="6"/>
      <c r="R55" s="6"/>
      <c r="S55" s="6"/>
      <c r="T55" s="6"/>
      <c r="U55" s="6"/>
      <c r="V55" s="6"/>
      <c r="W55" s="6"/>
      <c r="X55" s="6"/>
      <c r="Y55" s="6"/>
      <c r="Z55" s="6"/>
    </row>
    <row r="56"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2.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2.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2.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2">
    <mergeCell ref="A1:B1"/>
    <mergeCell ref="A55:B55"/>
  </mergeCells>
  <printOptions/>
  <pageMargins bottom="0.75" footer="0.0" header="0.0" left="0.7" right="0.7" top="0.75"/>
  <pageSetup orientation="portrait"/>
  <headerFooter>
    <oddFooter>&amp;C000000&amp;P</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0.11"/>
    <col customWidth="1" min="2" max="2" width="8.44"/>
    <col customWidth="1" min="3" max="3" width="26.78"/>
    <col customWidth="1" min="4" max="4" width="12.22"/>
    <col customWidth="1" min="5" max="5" width="7.22"/>
    <col customWidth="1" min="6" max="6" width="9.33"/>
    <col customWidth="1" min="7" max="7" width="12.0"/>
    <col customWidth="1" min="8" max="8" width="15.44"/>
    <col customWidth="1" min="9" max="9" width="11.78"/>
    <col customWidth="1" min="10" max="10" width="13.89"/>
    <col customWidth="1" min="11" max="11" width="8.11"/>
    <col customWidth="1" min="12" max="26" width="8.67"/>
  </cols>
  <sheetData>
    <row r="1" ht="15.0" customHeight="1">
      <c r="A1" s="371" t="s">
        <v>3108</v>
      </c>
      <c r="B1" s="372" t="s">
        <v>3141</v>
      </c>
      <c r="C1" s="215"/>
      <c r="D1" s="181"/>
      <c r="E1" s="181"/>
      <c r="F1" s="181"/>
      <c r="G1" s="181"/>
      <c r="H1" s="181"/>
      <c r="I1" s="181"/>
      <c r="J1" s="181"/>
      <c r="K1" s="181"/>
      <c r="L1" s="181"/>
      <c r="M1" s="6"/>
      <c r="N1" s="6"/>
      <c r="O1" s="6"/>
      <c r="P1" s="6"/>
      <c r="Q1" s="6"/>
      <c r="R1" s="6"/>
      <c r="S1" s="6"/>
      <c r="T1" s="6"/>
      <c r="U1" s="6"/>
      <c r="V1" s="6"/>
      <c r="W1" s="6"/>
      <c r="X1" s="6"/>
      <c r="Y1" s="6"/>
      <c r="Z1" s="6"/>
    </row>
    <row r="2" ht="15.0" customHeight="1">
      <c r="A2" s="373" t="s">
        <v>3113</v>
      </c>
      <c r="B2" s="374">
        <v>0.0</v>
      </c>
      <c r="C2" s="215"/>
      <c r="D2" s="181"/>
      <c r="E2" s="181"/>
      <c r="F2" s="181"/>
      <c r="G2" s="181"/>
      <c r="H2" s="181"/>
      <c r="I2" s="181"/>
      <c r="J2" s="181"/>
      <c r="K2" s="181"/>
      <c r="L2" s="181"/>
      <c r="M2" s="6"/>
      <c r="N2" s="6"/>
      <c r="O2" s="6"/>
      <c r="P2" s="6"/>
      <c r="Q2" s="6"/>
      <c r="R2" s="6"/>
      <c r="S2" s="6"/>
      <c r="T2" s="6"/>
      <c r="U2" s="6"/>
      <c r="V2" s="6"/>
      <c r="W2" s="6"/>
      <c r="X2" s="6"/>
      <c r="Y2" s="6"/>
      <c r="Z2" s="6"/>
    </row>
    <row r="3" ht="15.0" customHeight="1">
      <c r="A3" s="375"/>
      <c r="B3" s="375"/>
      <c r="C3" s="376"/>
      <c r="D3" s="376"/>
      <c r="E3" s="376"/>
      <c r="F3" s="376"/>
      <c r="G3" s="376"/>
      <c r="H3" s="376"/>
      <c r="I3" s="376"/>
      <c r="J3" s="376"/>
      <c r="K3" s="376"/>
      <c r="L3" s="181"/>
      <c r="M3" s="6"/>
      <c r="N3" s="6"/>
      <c r="O3" s="6"/>
      <c r="P3" s="6"/>
      <c r="Q3" s="6"/>
      <c r="R3" s="6"/>
      <c r="S3" s="6"/>
      <c r="T3" s="6"/>
      <c r="U3" s="6"/>
      <c r="V3" s="6"/>
      <c r="W3" s="6"/>
      <c r="X3" s="6"/>
      <c r="Y3" s="6"/>
      <c r="Z3" s="6"/>
    </row>
    <row r="4" ht="22.5" customHeight="1">
      <c r="A4" s="377" t="s">
        <v>3142</v>
      </c>
      <c r="B4" s="378" t="s">
        <v>1172</v>
      </c>
      <c r="C4" s="378" t="s">
        <v>1173</v>
      </c>
      <c r="D4" s="378" t="s">
        <v>3107</v>
      </c>
      <c r="E4" s="378" t="s">
        <v>3115</v>
      </c>
      <c r="F4" s="378" t="s">
        <v>803</v>
      </c>
      <c r="G4" s="378" t="s">
        <v>3116</v>
      </c>
      <c r="H4" s="378" t="s">
        <v>805</v>
      </c>
      <c r="I4" s="378" t="s">
        <v>806</v>
      </c>
      <c r="J4" s="378" t="s">
        <v>807</v>
      </c>
      <c r="K4" s="378" t="s">
        <v>808</v>
      </c>
      <c r="L4" s="215"/>
      <c r="M4" s="6"/>
      <c r="N4" s="6"/>
      <c r="O4" s="6"/>
      <c r="P4" s="6"/>
      <c r="Q4" s="6"/>
      <c r="R4" s="6"/>
      <c r="S4" s="6"/>
      <c r="T4" s="6"/>
      <c r="U4" s="6"/>
      <c r="V4" s="6"/>
      <c r="W4" s="6"/>
      <c r="X4" s="6"/>
      <c r="Y4" s="6"/>
      <c r="Z4" s="6"/>
    </row>
    <row r="5" ht="45.0" customHeight="1">
      <c r="A5" s="379">
        <v>11.0</v>
      </c>
      <c r="B5" s="380" t="s">
        <v>107</v>
      </c>
      <c r="C5" s="380" t="s">
        <v>108</v>
      </c>
      <c r="D5" s="381">
        <v>0.0</v>
      </c>
      <c r="E5" s="382">
        <v>0.0</v>
      </c>
      <c r="F5" s="382">
        <v>0.0</v>
      </c>
      <c r="G5" s="380" t="s">
        <v>811</v>
      </c>
      <c r="H5" s="382">
        <v>0.0</v>
      </c>
      <c r="I5" s="382">
        <v>0.0</v>
      </c>
      <c r="J5" s="380" t="s">
        <v>826</v>
      </c>
      <c r="K5" s="380" t="s">
        <v>828</v>
      </c>
      <c r="L5" s="215"/>
      <c r="M5" s="6"/>
      <c r="N5" s="6"/>
      <c r="O5" s="6"/>
      <c r="P5" s="6"/>
      <c r="Q5" s="6"/>
      <c r="R5" s="6"/>
      <c r="S5" s="6"/>
      <c r="T5" s="6"/>
      <c r="U5" s="6"/>
      <c r="V5" s="6"/>
      <c r="W5" s="6"/>
      <c r="X5" s="6"/>
      <c r="Y5" s="6"/>
      <c r="Z5" s="6"/>
    </row>
    <row r="6" ht="22.5" customHeight="1">
      <c r="A6" s="379">
        <v>13.0</v>
      </c>
      <c r="B6" s="380" t="s">
        <v>113</v>
      </c>
      <c r="C6" s="380" t="s">
        <v>114</v>
      </c>
      <c r="D6" s="381">
        <v>0.0</v>
      </c>
      <c r="E6" s="382">
        <v>0.0</v>
      </c>
      <c r="F6" s="380" t="s">
        <v>829</v>
      </c>
      <c r="G6" s="380" t="s">
        <v>830</v>
      </c>
      <c r="H6" s="380" t="s">
        <v>812</v>
      </c>
      <c r="I6" s="380" t="s">
        <v>812</v>
      </c>
      <c r="J6" s="380" t="s">
        <v>826</v>
      </c>
      <c r="K6" s="382">
        <v>0.0</v>
      </c>
      <c r="L6" s="215"/>
      <c r="M6" s="6"/>
      <c r="N6" s="6"/>
      <c r="O6" s="6"/>
      <c r="P6" s="6"/>
      <c r="Q6" s="6"/>
      <c r="R6" s="6"/>
      <c r="S6" s="6"/>
      <c r="T6" s="6"/>
      <c r="U6" s="6"/>
      <c r="V6" s="6"/>
      <c r="W6" s="6"/>
      <c r="X6" s="6"/>
      <c r="Y6" s="6"/>
      <c r="Z6" s="6"/>
    </row>
    <row r="7" ht="101.25" customHeight="1">
      <c r="A7" s="379">
        <v>14.0</v>
      </c>
      <c r="B7" s="380" t="s">
        <v>139</v>
      </c>
      <c r="C7" s="380" t="s">
        <v>140</v>
      </c>
      <c r="D7" s="381">
        <v>0.0</v>
      </c>
      <c r="E7" s="380" t="s">
        <v>809</v>
      </c>
      <c r="F7" s="382">
        <v>0.0</v>
      </c>
      <c r="G7" s="380" t="s">
        <v>834</v>
      </c>
      <c r="H7" s="380" t="s">
        <v>835</v>
      </c>
      <c r="I7" s="380" t="s">
        <v>836</v>
      </c>
      <c r="J7" s="380" t="s">
        <v>837</v>
      </c>
      <c r="K7" s="382">
        <v>12.8</v>
      </c>
      <c r="L7" s="215"/>
      <c r="M7" s="6"/>
      <c r="N7" s="6"/>
      <c r="O7" s="6"/>
      <c r="P7" s="6"/>
      <c r="Q7" s="6"/>
      <c r="R7" s="6"/>
      <c r="S7" s="6"/>
      <c r="T7" s="6"/>
      <c r="U7" s="6"/>
      <c r="V7" s="6"/>
      <c r="W7" s="6"/>
      <c r="X7" s="6"/>
      <c r="Y7" s="6"/>
      <c r="Z7" s="6"/>
    </row>
    <row r="8" ht="33.75" customHeight="1">
      <c r="A8" s="379">
        <v>15.0</v>
      </c>
      <c r="B8" s="380" t="s">
        <v>143</v>
      </c>
      <c r="C8" s="380" t="s">
        <v>144</v>
      </c>
      <c r="D8" s="381">
        <v>0.0</v>
      </c>
      <c r="E8" s="380" t="s">
        <v>809</v>
      </c>
      <c r="F8" s="382">
        <v>0.0</v>
      </c>
      <c r="G8" s="380" t="s">
        <v>834</v>
      </c>
      <c r="H8" s="380" t="s">
        <v>835</v>
      </c>
      <c r="I8" s="380" t="s">
        <v>836</v>
      </c>
      <c r="J8" s="382">
        <v>0.0</v>
      </c>
      <c r="K8" s="382">
        <v>12.8</v>
      </c>
      <c r="L8" s="215"/>
      <c r="M8" s="6"/>
      <c r="N8" s="6"/>
      <c r="O8" s="6"/>
      <c r="P8" s="6"/>
      <c r="Q8" s="6"/>
      <c r="R8" s="6"/>
      <c r="S8" s="6"/>
      <c r="T8" s="6"/>
      <c r="U8" s="6"/>
      <c r="V8" s="6"/>
      <c r="W8" s="6"/>
      <c r="X8" s="6"/>
      <c r="Y8" s="6"/>
      <c r="Z8" s="6"/>
    </row>
    <row r="9" ht="45.0" customHeight="1">
      <c r="A9" s="379">
        <v>16.0</v>
      </c>
      <c r="B9" s="380" t="s">
        <v>147</v>
      </c>
      <c r="C9" s="380" t="s">
        <v>148</v>
      </c>
      <c r="D9" s="381">
        <v>0.0</v>
      </c>
      <c r="E9" s="380" t="s">
        <v>809</v>
      </c>
      <c r="F9" s="382">
        <v>0.0</v>
      </c>
      <c r="G9" s="380" t="s">
        <v>834</v>
      </c>
      <c r="H9" s="380" t="s">
        <v>812</v>
      </c>
      <c r="I9" s="382">
        <v>0.0</v>
      </c>
      <c r="J9" s="380" t="s">
        <v>838</v>
      </c>
      <c r="K9" s="382">
        <v>12.8</v>
      </c>
      <c r="L9" s="215"/>
      <c r="M9" s="6"/>
      <c r="N9" s="6"/>
      <c r="O9" s="6"/>
      <c r="P9" s="6"/>
      <c r="Q9" s="6"/>
      <c r="R9" s="6"/>
      <c r="S9" s="6"/>
      <c r="T9" s="6"/>
      <c r="U9" s="6"/>
      <c r="V9" s="6"/>
      <c r="W9" s="6"/>
      <c r="X9" s="6"/>
      <c r="Y9" s="6"/>
      <c r="Z9" s="6"/>
    </row>
    <row r="10" ht="67.5" customHeight="1">
      <c r="A10" s="379">
        <v>17.0</v>
      </c>
      <c r="B10" s="380" t="s">
        <v>151</v>
      </c>
      <c r="C10" s="380" t="s">
        <v>152</v>
      </c>
      <c r="D10" s="381">
        <v>0.0</v>
      </c>
      <c r="E10" s="382">
        <v>0.0</v>
      </c>
      <c r="F10" s="382">
        <v>0.0</v>
      </c>
      <c r="G10" s="380" t="s">
        <v>834</v>
      </c>
      <c r="H10" s="380" t="s">
        <v>816</v>
      </c>
      <c r="I10" s="382">
        <v>0.0</v>
      </c>
      <c r="J10" s="380" t="s">
        <v>839</v>
      </c>
      <c r="K10" s="382">
        <v>12.8</v>
      </c>
      <c r="L10" s="215"/>
      <c r="M10" s="6"/>
      <c r="N10" s="6"/>
      <c r="O10" s="6"/>
      <c r="P10" s="6"/>
      <c r="Q10" s="6"/>
      <c r="R10" s="6"/>
      <c r="S10" s="6"/>
      <c r="T10" s="6"/>
      <c r="U10" s="6"/>
      <c r="V10" s="6"/>
      <c r="W10" s="6"/>
      <c r="X10" s="6"/>
      <c r="Y10" s="6"/>
      <c r="Z10" s="6"/>
    </row>
    <row r="11" ht="33.75" customHeight="1">
      <c r="A11" s="379">
        <v>20.0</v>
      </c>
      <c r="B11" s="380" t="s">
        <v>159</v>
      </c>
      <c r="C11" s="380" t="s">
        <v>160</v>
      </c>
      <c r="D11" s="381">
        <v>0.0</v>
      </c>
      <c r="E11" s="380" t="s">
        <v>823</v>
      </c>
      <c r="F11" s="382">
        <v>0.0</v>
      </c>
      <c r="G11" s="380" t="s">
        <v>843</v>
      </c>
      <c r="H11" s="380" t="s">
        <v>816</v>
      </c>
      <c r="I11" s="380" t="s">
        <v>844</v>
      </c>
      <c r="J11" s="382">
        <v>0.0</v>
      </c>
      <c r="K11" s="382">
        <v>0.0</v>
      </c>
      <c r="L11" s="215"/>
      <c r="M11" s="6"/>
      <c r="N11" s="6"/>
      <c r="O11" s="6"/>
      <c r="P11" s="6"/>
      <c r="Q11" s="6"/>
      <c r="R11" s="6"/>
      <c r="S11" s="6"/>
      <c r="T11" s="6"/>
      <c r="U11" s="6"/>
      <c r="V11" s="6"/>
      <c r="W11" s="6"/>
      <c r="X11" s="6"/>
      <c r="Y11" s="6"/>
      <c r="Z11" s="6"/>
    </row>
    <row r="12" ht="22.5" customHeight="1">
      <c r="A12" s="379">
        <v>23.0</v>
      </c>
      <c r="B12" s="380" t="s">
        <v>166</v>
      </c>
      <c r="C12" s="380" t="s">
        <v>167</v>
      </c>
      <c r="D12" s="381">
        <v>0.0</v>
      </c>
      <c r="E12" s="380" t="s">
        <v>809</v>
      </c>
      <c r="F12" s="382">
        <v>0.0</v>
      </c>
      <c r="G12" s="380" t="s">
        <v>845</v>
      </c>
      <c r="H12" s="380" t="s">
        <v>816</v>
      </c>
      <c r="I12" s="380" t="s">
        <v>836</v>
      </c>
      <c r="J12" s="380" t="s">
        <v>846</v>
      </c>
      <c r="K12" s="382">
        <v>0.0</v>
      </c>
      <c r="L12" s="215"/>
      <c r="M12" s="6"/>
      <c r="N12" s="6"/>
      <c r="O12" s="6"/>
      <c r="P12" s="6"/>
      <c r="Q12" s="6"/>
      <c r="R12" s="6"/>
      <c r="S12" s="6"/>
      <c r="T12" s="6"/>
      <c r="U12" s="6"/>
      <c r="V12" s="6"/>
      <c r="W12" s="6"/>
      <c r="X12" s="6"/>
      <c r="Y12" s="6"/>
      <c r="Z12" s="6"/>
    </row>
    <row r="13" ht="22.5" customHeight="1">
      <c r="A13" s="379">
        <v>25.0</v>
      </c>
      <c r="B13" s="380" t="s">
        <v>171</v>
      </c>
      <c r="C13" s="380" t="s">
        <v>172</v>
      </c>
      <c r="D13" s="381">
        <v>0.0</v>
      </c>
      <c r="E13" s="380" t="s">
        <v>823</v>
      </c>
      <c r="F13" s="382">
        <v>0.0</v>
      </c>
      <c r="G13" s="380" t="s">
        <v>845</v>
      </c>
      <c r="H13" s="380" t="s">
        <v>816</v>
      </c>
      <c r="I13" s="382">
        <v>0.0</v>
      </c>
      <c r="J13" s="382">
        <v>0.0</v>
      </c>
      <c r="K13" s="382">
        <v>0.0</v>
      </c>
      <c r="L13" s="215"/>
      <c r="M13" s="6"/>
      <c r="N13" s="6"/>
      <c r="O13" s="6"/>
      <c r="P13" s="6"/>
      <c r="Q13" s="6"/>
      <c r="R13" s="6"/>
      <c r="S13" s="6"/>
      <c r="T13" s="6"/>
      <c r="U13" s="6"/>
      <c r="V13" s="6"/>
      <c r="W13" s="6"/>
      <c r="X13" s="6"/>
      <c r="Y13" s="6"/>
      <c r="Z13" s="6"/>
    </row>
    <row r="14" ht="22.5" customHeight="1">
      <c r="A14" s="379">
        <v>27.0</v>
      </c>
      <c r="B14" s="380" t="s">
        <v>175</v>
      </c>
      <c r="C14" s="380" t="s">
        <v>176</v>
      </c>
      <c r="D14" s="381">
        <v>0.0</v>
      </c>
      <c r="E14" s="380" t="s">
        <v>814</v>
      </c>
      <c r="F14" s="382">
        <v>0.0</v>
      </c>
      <c r="G14" s="382">
        <v>0.0</v>
      </c>
      <c r="H14" s="380" t="s">
        <v>849</v>
      </c>
      <c r="I14" s="382">
        <v>0.0</v>
      </c>
      <c r="J14" s="382">
        <v>0.0</v>
      </c>
      <c r="K14" s="382">
        <v>0.0</v>
      </c>
      <c r="L14" s="215"/>
      <c r="M14" s="6"/>
      <c r="N14" s="6"/>
      <c r="O14" s="6"/>
      <c r="P14" s="6"/>
      <c r="Q14" s="6"/>
      <c r="R14" s="6"/>
      <c r="S14" s="6"/>
      <c r="T14" s="6"/>
      <c r="U14" s="6"/>
      <c r="V14" s="6"/>
      <c r="W14" s="6"/>
      <c r="X14" s="6"/>
      <c r="Y14" s="6"/>
      <c r="Z14" s="6"/>
    </row>
    <row r="15" ht="33.75" customHeight="1">
      <c r="A15" s="379">
        <v>28.0</v>
      </c>
      <c r="B15" s="380" t="s">
        <v>178</v>
      </c>
      <c r="C15" s="380" t="s">
        <v>179</v>
      </c>
      <c r="D15" s="381">
        <v>0.0</v>
      </c>
      <c r="E15" s="380" t="s">
        <v>850</v>
      </c>
      <c r="F15" s="382">
        <v>0.0</v>
      </c>
      <c r="G15" s="380" t="s">
        <v>851</v>
      </c>
      <c r="H15" s="380" t="s">
        <v>849</v>
      </c>
      <c r="I15" s="382">
        <v>0.0</v>
      </c>
      <c r="J15" s="382">
        <v>0.0</v>
      </c>
      <c r="K15" s="382">
        <v>0.0</v>
      </c>
      <c r="L15" s="215"/>
      <c r="M15" s="6"/>
      <c r="N15" s="6"/>
      <c r="O15" s="6"/>
      <c r="P15" s="6"/>
      <c r="Q15" s="6"/>
      <c r="R15" s="6"/>
      <c r="S15" s="6"/>
      <c r="T15" s="6"/>
      <c r="U15" s="6"/>
      <c r="V15" s="6"/>
      <c r="W15" s="6"/>
      <c r="X15" s="6"/>
      <c r="Y15" s="6"/>
      <c r="Z15" s="6"/>
    </row>
    <row r="16" ht="56.25" customHeight="1">
      <c r="A16" s="379">
        <v>32.0</v>
      </c>
      <c r="B16" s="380" t="s">
        <v>190</v>
      </c>
      <c r="C16" s="380" t="s">
        <v>191</v>
      </c>
      <c r="D16" s="381">
        <v>0.0</v>
      </c>
      <c r="E16" s="380" t="s">
        <v>860</v>
      </c>
      <c r="F16" s="382">
        <v>0.0</v>
      </c>
      <c r="G16" s="382">
        <v>6.2</v>
      </c>
      <c r="H16" s="380" t="s">
        <v>861</v>
      </c>
      <c r="I16" s="380" t="s">
        <v>862</v>
      </c>
      <c r="J16" s="380" t="s">
        <v>863</v>
      </c>
      <c r="K16" s="382">
        <v>0.0</v>
      </c>
      <c r="L16" s="215"/>
      <c r="M16" s="6"/>
      <c r="N16" s="6"/>
      <c r="O16" s="6"/>
      <c r="P16" s="6"/>
      <c r="Q16" s="6"/>
      <c r="R16" s="6"/>
      <c r="S16" s="6"/>
      <c r="T16" s="6"/>
      <c r="U16" s="6"/>
      <c r="V16" s="6"/>
      <c r="W16" s="6"/>
      <c r="X16" s="6"/>
      <c r="Y16" s="6"/>
      <c r="Z16" s="6"/>
    </row>
    <row r="17" ht="45.0" customHeight="1">
      <c r="A17" s="379">
        <v>34.0</v>
      </c>
      <c r="B17" s="380" t="s">
        <v>196</v>
      </c>
      <c r="C17" s="380" t="s">
        <v>197</v>
      </c>
      <c r="D17" s="381">
        <v>0.0</v>
      </c>
      <c r="E17" s="382">
        <v>0.0</v>
      </c>
      <c r="F17" s="382">
        <v>0.0</v>
      </c>
      <c r="G17" s="382">
        <v>16.0</v>
      </c>
      <c r="H17" s="382">
        <v>0.0</v>
      </c>
      <c r="I17" s="382">
        <v>0.0</v>
      </c>
      <c r="J17" s="382">
        <v>0.0</v>
      </c>
      <c r="K17" s="380" t="s">
        <v>866</v>
      </c>
      <c r="L17" s="215"/>
      <c r="M17" s="6"/>
      <c r="N17" s="6"/>
      <c r="O17" s="6"/>
      <c r="P17" s="6"/>
      <c r="Q17" s="6"/>
      <c r="R17" s="6"/>
      <c r="S17" s="6"/>
      <c r="T17" s="6"/>
      <c r="U17" s="6"/>
      <c r="V17" s="6"/>
      <c r="W17" s="6"/>
      <c r="X17" s="6"/>
      <c r="Y17" s="6"/>
      <c r="Z17" s="6"/>
    </row>
    <row r="18" ht="67.5" customHeight="1">
      <c r="A18" s="379">
        <v>36.0</v>
      </c>
      <c r="B18" s="380" t="s">
        <v>202</v>
      </c>
      <c r="C18" s="380" t="s">
        <v>203</v>
      </c>
      <c r="D18" s="381">
        <v>0.0</v>
      </c>
      <c r="E18" s="380" t="s">
        <v>864</v>
      </c>
      <c r="F18" s="382">
        <v>0.0</v>
      </c>
      <c r="G18" s="380" t="s">
        <v>868</v>
      </c>
      <c r="H18" s="380" t="s">
        <v>869</v>
      </c>
      <c r="I18" s="382">
        <v>0.0</v>
      </c>
      <c r="J18" s="380" t="s">
        <v>870</v>
      </c>
      <c r="K18" s="382">
        <v>2.4</v>
      </c>
      <c r="L18" s="215"/>
      <c r="M18" s="6"/>
      <c r="N18" s="6"/>
      <c r="O18" s="6"/>
      <c r="P18" s="6"/>
      <c r="Q18" s="6"/>
      <c r="R18" s="6"/>
      <c r="S18" s="6"/>
      <c r="T18" s="6"/>
      <c r="U18" s="6"/>
      <c r="V18" s="6"/>
      <c r="W18" s="6"/>
      <c r="X18" s="6"/>
      <c r="Y18" s="6"/>
      <c r="Z18" s="6"/>
    </row>
    <row r="19" ht="33.75" customHeight="1">
      <c r="A19" s="379">
        <v>37.0</v>
      </c>
      <c r="B19" s="380" t="s">
        <v>206</v>
      </c>
      <c r="C19" s="380" t="s">
        <v>207</v>
      </c>
      <c r="D19" s="381">
        <v>0.0</v>
      </c>
      <c r="E19" s="380" t="s">
        <v>809</v>
      </c>
      <c r="F19" s="382">
        <v>0.0</v>
      </c>
      <c r="G19" s="380" t="s">
        <v>871</v>
      </c>
      <c r="H19" s="382">
        <v>0.0</v>
      </c>
      <c r="I19" s="382">
        <v>0.0</v>
      </c>
      <c r="J19" s="382">
        <v>0.0</v>
      </c>
      <c r="K19" s="382">
        <v>0.0</v>
      </c>
      <c r="L19" s="215"/>
      <c r="M19" s="6"/>
      <c r="N19" s="6"/>
      <c r="O19" s="6"/>
      <c r="P19" s="6"/>
      <c r="Q19" s="6"/>
      <c r="R19" s="6"/>
      <c r="S19" s="6"/>
      <c r="T19" s="6"/>
      <c r="U19" s="6"/>
      <c r="V19" s="6"/>
      <c r="W19" s="6"/>
      <c r="X19" s="6"/>
      <c r="Y19" s="6"/>
      <c r="Z19" s="6"/>
    </row>
    <row r="20" ht="33.75" customHeight="1">
      <c r="A20" s="379">
        <v>40.0</v>
      </c>
      <c r="B20" s="380" t="s">
        <v>215</v>
      </c>
      <c r="C20" s="380" t="s">
        <v>216</v>
      </c>
      <c r="D20" s="381">
        <v>0.0</v>
      </c>
      <c r="E20" s="380" t="s">
        <v>864</v>
      </c>
      <c r="F20" s="382">
        <v>0.0</v>
      </c>
      <c r="G20" s="382">
        <v>0.0</v>
      </c>
      <c r="H20" s="382">
        <v>0.0</v>
      </c>
      <c r="I20" s="382">
        <v>0.0</v>
      </c>
      <c r="J20" s="382">
        <v>0.0</v>
      </c>
      <c r="K20" s="382">
        <v>0.0</v>
      </c>
      <c r="L20" s="215"/>
      <c r="M20" s="6"/>
      <c r="N20" s="6"/>
      <c r="O20" s="6"/>
      <c r="P20" s="6"/>
      <c r="Q20" s="6"/>
      <c r="R20" s="6"/>
      <c r="S20" s="6"/>
      <c r="T20" s="6"/>
      <c r="U20" s="6"/>
      <c r="V20" s="6"/>
      <c r="W20" s="6"/>
      <c r="X20" s="6"/>
      <c r="Y20" s="6"/>
      <c r="Z20" s="6"/>
    </row>
    <row r="21" ht="56.25" customHeight="1">
      <c r="A21" s="379">
        <v>41.0</v>
      </c>
      <c r="B21" s="380" t="s">
        <v>218</v>
      </c>
      <c r="C21" s="380" t="s">
        <v>219</v>
      </c>
      <c r="D21" s="381">
        <v>0.0</v>
      </c>
      <c r="E21" s="380" t="s">
        <v>823</v>
      </c>
      <c r="F21" s="382">
        <v>0.0</v>
      </c>
      <c r="G21" s="380" t="s">
        <v>873</v>
      </c>
      <c r="H21" s="380" t="s">
        <v>857</v>
      </c>
      <c r="I21" s="380" t="s">
        <v>874</v>
      </c>
      <c r="J21" s="380" t="s">
        <v>875</v>
      </c>
      <c r="K21" s="380" t="s">
        <v>876</v>
      </c>
      <c r="L21" s="215"/>
      <c r="M21" s="6"/>
      <c r="N21" s="6"/>
      <c r="O21" s="6"/>
      <c r="P21" s="6"/>
      <c r="Q21" s="6"/>
      <c r="R21" s="6"/>
      <c r="S21" s="6"/>
      <c r="T21" s="6"/>
      <c r="U21" s="6"/>
      <c r="V21" s="6"/>
      <c r="W21" s="6"/>
      <c r="X21" s="6"/>
      <c r="Y21" s="6"/>
      <c r="Z21" s="6"/>
    </row>
    <row r="22" ht="45.0" customHeight="1">
      <c r="A22" s="379">
        <v>42.0</v>
      </c>
      <c r="B22" s="380" t="s">
        <v>222</v>
      </c>
      <c r="C22" s="380" t="s">
        <v>223</v>
      </c>
      <c r="D22" s="381">
        <v>0.0</v>
      </c>
      <c r="E22" s="380" t="s">
        <v>877</v>
      </c>
      <c r="F22" s="382">
        <v>0.0</v>
      </c>
      <c r="G22" s="382">
        <v>9.2</v>
      </c>
      <c r="H22" s="380" t="s">
        <v>857</v>
      </c>
      <c r="I22" s="380" t="s">
        <v>878</v>
      </c>
      <c r="J22" s="380" t="s">
        <v>879</v>
      </c>
      <c r="K22" s="380" t="s">
        <v>880</v>
      </c>
      <c r="L22" s="215"/>
      <c r="M22" s="6"/>
      <c r="N22" s="6"/>
      <c r="O22" s="6"/>
      <c r="P22" s="6"/>
      <c r="Q22" s="6"/>
      <c r="R22" s="6"/>
      <c r="S22" s="6"/>
      <c r="T22" s="6"/>
      <c r="U22" s="6"/>
      <c r="V22" s="6"/>
      <c r="W22" s="6"/>
      <c r="X22" s="6"/>
      <c r="Y22" s="6"/>
      <c r="Z22" s="6"/>
    </row>
    <row r="23" ht="22.5" customHeight="1">
      <c r="A23" s="379">
        <v>44.0</v>
      </c>
      <c r="B23" s="380" t="s">
        <v>230</v>
      </c>
      <c r="C23" s="380" t="s">
        <v>231</v>
      </c>
      <c r="D23" s="381">
        <v>0.0</v>
      </c>
      <c r="E23" s="380" t="s">
        <v>882</v>
      </c>
      <c r="F23" s="382">
        <v>0.0</v>
      </c>
      <c r="G23" s="380" t="s">
        <v>883</v>
      </c>
      <c r="H23" s="380" t="s">
        <v>884</v>
      </c>
      <c r="I23" s="380" t="s">
        <v>885</v>
      </c>
      <c r="J23" s="380" t="s">
        <v>886</v>
      </c>
      <c r="K23" s="380" t="s">
        <v>887</v>
      </c>
      <c r="L23" s="215"/>
      <c r="M23" s="6"/>
      <c r="N23" s="6"/>
      <c r="O23" s="6"/>
      <c r="P23" s="6"/>
      <c r="Q23" s="6"/>
      <c r="R23" s="6"/>
      <c r="S23" s="6"/>
      <c r="T23" s="6"/>
      <c r="U23" s="6"/>
      <c r="V23" s="6"/>
      <c r="W23" s="6"/>
      <c r="X23" s="6"/>
      <c r="Y23" s="6"/>
      <c r="Z23" s="6"/>
    </row>
    <row r="24" ht="33.75" customHeight="1">
      <c r="A24" s="379">
        <v>45.0</v>
      </c>
      <c r="B24" s="380" t="s">
        <v>233</v>
      </c>
      <c r="C24" s="380" t="s">
        <v>234</v>
      </c>
      <c r="D24" s="381">
        <v>0.0</v>
      </c>
      <c r="E24" s="380" t="s">
        <v>882</v>
      </c>
      <c r="F24" s="382">
        <v>0.0</v>
      </c>
      <c r="G24" s="380" t="s">
        <v>883</v>
      </c>
      <c r="H24" s="380" t="s">
        <v>884</v>
      </c>
      <c r="I24" s="380" t="s">
        <v>888</v>
      </c>
      <c r="J24" s="380" t="s">
        <v>889</v>
      </c>
      <c r="K24" s="380" t="s">
        <v>887</v>
      </c>
      <c r="L24" s="215"/>
      <c r="M24" s="6"/>
      <c r="N24" s="6"/>
      <c r="O24" s="6"/>
      <c r="P24" s="6"/>
      <c r="Q24" s="6"/>
      <c r="R24" s="6"/>
      <c r="S24" s="6"/>
      <c r="T24" s="6"/>
      <c r="U24" s="6"/>
      <c r="V24" s="6"/>
      <c r="W24" s="6"/>
      <c r="X24" s="6"/>
      <c r="Y24" s="6"/>
      <c r="Z24" s="6"/>
    </row>
    <row r="25" ht="33.75" customHeight="1">
      <c r="A25" s="379">
        <v>46.0</v>
      </c>
      <c r="B25" s="380" t="s">
        <v>236</v>
      </c>
      <c r="C25" s="380" t="s">
        <v>237</v>
      </c>
      <c r="D25" s="381">
        <v>0.0</v>
      </c>
      <c r="E25" s="380" t="s">
        <v>882</v>
      </c>
      <c r="F25" s="382">
        <v>0.0</v>
      </c>
      <c r="G25" s="380" t="s">
        <v>883</v>
      </c>
      <c r="H25" s="380" t="s">
        <v>884</v>
      </c>
      <c r="I25" s="382">
        <v>0.0</v>
      </c>
      <c r="J25" s="382">
        <v>0.0</v>
      </c>
      <c r="K25" s="380" t="s">
        <v>887</v>
      </c>
      <c r="L25" s="215"/>
      <c r="M25" s="6"/>
      <c r="N25" s="6"/>
      <c r="O25" s="6"/>
      <c r="P25" s="6"/>
      <c r="Q25" s="6"/>
      <c r="R25" s="6"/>
      <c r="S25" s="6"/>
      <c r="T25" s="6"/>
      <c r="U25" s="6"/>
      <c r="V25" s="6"/>
      <c r="W25" s="6"/>
      <c r="X25" s="6"/>
      <c r="Y25" s="6"/>
      <c r="Z25" s="6"/>
    </row>
    <row r="26" ht="33.75" customHeight="1">
      <c r="A26" s="379">
        <v>48.0</v>
      </c>
      <c r="B26" s="380" t="s">
        <v>241</v>
      </c>
      <c r="C26" s="380" t="s">
        <v>242</v>
      </c>
      <c r="D26" s="381">
        <v>0.0</v>
      </c>
      <c r="E26" s="380" t="s">
        <v>882</v>
      </c>
      <c r="F26" s="382">
        <v>0.0</v>
      </c>
      <c r="G26" s="380" t="s">
        <v>892</v>
      </c>
      <c r="H26" s="380" t="s">
        <v>884</v>
      </c>
      <c r="I26" s="380" t="s">
        <v>893</v>
      </c>
      <c r="J26" s="380" t="s">
        <v>894</v>
      </c>
      <c r="K26" s="380" t="s">
        <v>887</v>
      </c>
      <c r="L26" s="215"/>
      <c r="M26" s="6"/>
      <c r="N26" s="6"/>
      <c r="O26" s="6"/>
      <c r="P26" s="6"/>
      <c r="Q26" s="6"/>
      <c r="R26" s="6"/>
      <c r="S26" s="6"/>
      <c r="T26" s="6"/>
      <c r="U26" s="6"/>
      <c r="V26" s="6"/>
      <c r="W26" s="6"/>
      <c r="X26" s="6"/>
      <c r="Y26" s="6"/>
      <c r="Z26" s="6"/>
    </row>
    <row r="27" ht="33.75" customHeight="1">
      <c r="A27" s="379">
        <v>49.0</v>
      </c>
      <c r="B27" s="380" t="s">
        <v>244</v>
      </c>
      <c r="C27" s="380" t="s">
        <v>245</v>
      </c>
      <c r="D27" s="381">
        <v>0.0</v>
      </c>
      <c r="E27" s="380" t="s">
        <v>882</v>
      </c>
      <c r="F27" s="382">
        <v>0.0</v>
      </c>
      <c r="G27" s="380" t="s">
        <v>845</v>
      </c>
      <c r="H27" s="382">
        <v>0.0</v>
      </c>
      <c r="I27" s="382">
        <v>0.0</v>
      </c>
      <c r="J27" s="382">
        <v>0.0</v>
      </c>
      <c r="K27" s="380" t="s">
        <v>891</v>
      </c>
      <c r="L27" s="215"/>
      <c r="M27" s="6"/>
      <c r="N27" s="6"/>
      <c r="O27" s="6"/>
      <c r="P27" s="6"/>
      <c r="Q27" s="6"/>
      <c r="R27" s="6"/>
      <c r="S27" s="6"/>
      <c r="T27" s="6"/>
      <c r="U27" s="6"/>
      <c r="V27" s="6"/>
      <c r="W27" s="6"/>
      <c r="X27" s="6"/>
      <c r="Y27" s="6"/>
      <c r="Z27" s="6"/>
    </row>
    <row r="28" ht="33.75" customHeight="1">
      <c r="A28" s="379">
        <v>50.0</v>
      </c>
      <c r="B28" s="380" t="s">
        <v>246</v>
      </c>
      <c r="C28" s="380" t="s">
        <v>247</v>
      </c>
      <c r="D28" s="381">
        <v>0.0</v>
      </c>
      <c r="E28" s="380" t="s">
        <v>882</v>
      </c>
      <c r="F28" s="382">
        <v>0.0</v>
      </c>
      <c r="G28" s="380" t="s">
        <v>845</v>
      </c>
      <c r="H28" s="380" t="s">
        <v>884</v>
      </c>
      <c r="I28" s="382">
        <v>0.0</v>
      </c>
      <c r="J28" s="382">
        <v>0.0</v>
      </c>
      <c r="K28" s="380" t="s">
        <v>887</v>
      </c>
      <c r="L28" s="215"/>
      <c r="M28" s="6"/>
      <c r="N28" s="6"/>
      <c r="O28" s="6"/>
      <c r="P28" s="6"/>
      <c r="Q28" s="6"/>
      <c r="R28" s="6"/>
      <c r="S28" s="6"/>
      <c r="T28" s="6"/>
      <c r="U28" s="6"/>
      <c r="V28" s="6"/>
      <c r="W28" s="6"/>
      <c r="X28" s="6"/>
      <c r="Y28" s="6"/>
      <c r="Z28" s="6"/>
    </row>
    <row r="29" ht="33.75" customHeight="1">
      <c r="A29" s="379">
        <v>51.0</v>
      </c>
      <c r="B29" s="380" t="s">
        <v>248</v>
      </c>
      <c r="C29" s="380" t="s">
        <v>249</v>
      </c>
      <c r="D29" s="381">
        <v>0.0</v>
      </c>
      <c r="E29" s="380" t="s">
        <v>882</v>
      </c>
      <c r="F29" s="382">
        <v>0.0</v>
      </c>
      <c r="G29" s="380" t="s">
        <v>845</v>
      </c>
      <c r="H29" s="380" t="s">
        <v>884</v>
      </c>
      <c r="I29" s="380" t="s">
        <v>895</v>
      </c>
      <c r="J29" s="380" t="s">
        <v>889</v>
      </c>
      <c r="K29" s="380" t="s">
        <v>887</v>
      </c>
      <c r="L29" s="215"/>
      <c r="M29" s="6"/>
      <c r="N29" s="6"/>
      <c r="O29" s="6"/>
      <c r="P29" s="6"/>
      <c r="Q29" s="6"/>
      <c r="R29" s="6"/>
      <c r="S29" s="6"/>
      <c r="T29" s="6"/>
      <c r="U29" s="6"/>
      <c r="V29" s="6"/>
      <c r="W29" s="6"/>
      <c r="X29" s="6"/>
      <c r="Y29" s="6"/>
      <c r="Z29" s="6"/>
    </row>
    <row r="30" ht="45.0" customHeight="1">
      <c r="A30" s="379">
        <v>54.0</v>
      </c>
      <c r="B30" s="380" t="s">
        <v>257</v>
      </c>
      <c r="C30" s="380" t="s">
        <v>258</v>
      </c>
      <c r="D30" s="381">
        <v>0.0</v>
      </c>
      <c r="E30" s="380" t="s">
        <v>882</v>
      </c>
      <c r="F30" s="382">
        <v>0.0</v>
      </c>
      <c r="G30" s="380" t="s">
        <v>845</v>
      </c>
      <c r="H30" s="380" t="s">
        <v>899</v>
      </c>
      <c r="I30" s="382">
        <v>0.0</v>
      </c>
      <c r="J30" s="382">
        <v>0.0</v>
      </c>
      <c r="K30" s="380" t="s">
        <v>887</v>
      </c>
      <c r="L30" s="215"/>
      <c r="M30" s="6"/>
      <c r="N30" s="6"/>
      <c r="O30" s="6"/>
      <c r="P30" s="6"/>
      <c r="Q30" s="6"/>
      <c r="R30" s="6"/>
      <c r="S30" s="6"/>
      <c r="T30" s="6"/>
      <c r="U30" s="6"/>
      <c r="V30" s="6"/>
      <c r="W30" s="6"/>
      <c r="X30" s="6"/>
      <c r="Y30" s="6"/>
      <c r="Z30" s="6"/>
    </row>
    <row r="31" ht="33.75" customHeight="1">
      <c r="A31" s="379">
        <v>56.0</v>
      </c>
      <c r="B31" s="380" t="s">
        <v>262</v>
      </c>
      <c r="C31" s="380" t="s">
        <v>263</v>
      </c>
      <c r="D31" s="381">
        <v>0.0</v>
      </c>
      <c r="E31" s="380" t="s">
        <v>882</v>
      </c>
      <c r="F31" s="382">
        <v>0.0</v>
      </c>
      <c r="G31" s="382">
        <v>0.0</v>
      </c>
      <c r="H31" s="380" t="s">
        <v>899</v>
      </c>
      <c r="I31" s="382">
        <v>0.0</v>
      </c>
      <c r="J31" s="382">
        <v>0.0</v>
      </c>
      <c r="K31" s="382">
        <v>0.0</v>
      </c>
      <c r="L31" s="215"/>
      <c r="M31" s="6"/>
      <c r="N31" s="6"/>
      <c r="O31" s="6"/>
      <c r="P31" s="6"/>
      <c r="Q31" s="6"/>
      <c r="R31" s="6"/>
      <c r="S31" s="6"/>
      <c r="T31" s="6"/>
      <c r="U31" s="6"/>
      <c r="V31" s="6"/>
      <c r="W31" s="6"/>
      <c r="X31" s="6"/>
      <c r="Y31" s="6"/>
      <c r="Z31" s="6"/>
    </row>
    <row r="32" ht="33.75" customHeight="1">
      <c r="A32" s="379">
        <v>57.0</v>
      </c>
      <c r="B32" s="380" t="s">
        <v>265</v>
      </c>
      <c r="C32" s="380" t="s">
        <v>266</v>
      </c>
      <c r="D32" s="381">
        <v>0.0</v>
      </c>
      <c r="E32" s="380" t="s">
        <v>882</v>
      </c>
      <c r="F32" s="382">
        <v>0.0</v>
      </c>
      <c r="G32" s="382">
        <v>0.0</v>
      </c>
      <c r="H32" s="380" t="s">
        <v>899</v>
      </c>
      <c r="I32" s="380" t="s">
        <v>900</v>
      </c>
      <c r="J32" s="382">
        <v>0.0</v>
      </c>
      <c r="K32" s="380" t="s">
        <v>887</v>
      </c>
      <c r="L32" s="215"/>
      <c r="M32" s="6"/>
      <c r="N32" s="6"/>
      <c r="O32" s="6"/>
      <c r="P32" s="6"/>
      <c r="Q32" s="6"/>
      <c r="R32" s="6"/>
      <c r="S32" s="6"/>
      <c r="T32" s="6"/>
      <c r="U32" s="6"/>
      <c r="V32" s="6"/>
      <c r="W32" s="6"/>
      <c r="X32" s="6"/>
      <c r="Y32" s="6"/>
      <c r="Z32" s="6"/>
    </row>
    <row r="33" ht="45.0" customHeight="1">
      <c r="A33" s="379">
        <v>58.0</v>
      </c>
      <c r="B33" s="380" t="s">
        <v>267</v>
      </c>
      <c r="C33" s="380" t="s">
        <v>268</v>
      </c>
      <c r="D33" s="381">
        <v>0.0</v>
      </c>
      <c r="E33" s="380" t="s">
        <v>901</v>
      </c>
      <c r="F33" s="382">
        <v>0.0</v>
      </c>
      <c r="G33" s="380" t="s">
        <v>902</v>
      </c>
      <c r="H33" s="380" t="s">
        <v>903</v>
      </c>
      <c r="I33" s="380" t="s">
        <v>904</v>
      </c>
      <c r="J33" s="380" t="s">
        <v>905</v>
      </c>
      <c r="K33" s="380" t="s">
        <v>906</v>
      </c>
      <c r="L33" s="215"/>
      <c r="M33" s="6"/>
      <c r="N33" s="6"/>
      <c r="O33" s="6"/>
      <c r="P33" s="6"/>
      <c r="Q33" s="6"/>
      <c r="R33" s="6"/>
      <c r="S33" s="6"/>
      <c r="T33" s="6"/>
      <c r="U33" s="6"/>
      <c r="V33" s="6"/>
      <c r="W33" s="6"/>
      <c r="X33" s="6"/>
      <c r="Y33" s="6"/>
      <c r="Z33" s="6"/>
    </row>
    <row r="34" ht="123.75" customHeight="1">
      <c r="A34" s="379">
        <v>59.0</v>
      </c>
      <c r="B34" s="380" t="s">
        <v>270</v>
      </c>
      <c r="C34" s="380" t="s">
        <v>3143</v>
      </c>
      <c r="D34" s="381">
        <v>0.0</v>
      </c>
      <c r="E34" s="380" t="s">
        <v>901</v>
      </c>
      <c r="F34" s="382">
        <v>0.0</v>
      </c>
      <c r="G34" s="380" t="s">
        <v>902</v>
      </c>
      <c r="H34" s="380" t="s">
        <v>903</v>
      </c>
      <c r="I34" s="380" t="s">
        <v>907</v>
      </c>
      <c r="J34" s="380" t="s">
        <v>908</v>
      </c>
      <c r="K34" s="380" t="s">
        <v>909</v>
      </c>
      <c r="L34" s="215"/>
      <c r="M34" s="6"/>
      <c r="N34" s="6"/>
      <c r="O34" s="6"/>
      <c r="P34" s="6"/>
      <c r="Q34" s="6"/>
      <c r="R34" s="6"/>
      <c r="S34" s="6"/>
      <c r="T34" s="6"/>
      <c r="U34" s="6"/>
      <c r="V34" s="6"/>
      <c r="W34" s="6"/>
      <c r="X34" s="6"/>
      <c r="Y34" s="6"/>
      <c r="Z34" s="6"/>
    </row>
    <row r="35" ht="33.75" customHeight="1">
      <c r="A35" s="379">
        <v>61.0</v>
      </c>
      <c r="B35" s="380" t="s">
        <v>278</v>
      </c>
      <c r="C35" s="380" t="s">
        <v>279</v>
      </c>
      <c r="D35" s="381">
        <v>0.0</v>
      </c>
      <c r="E35" s="380" t="s">
        <v>817</v>
      </c>
      <c r="F35" s="382">
        <v>0.0</v>
      </c>
      <c r="G35" s="380" t="s">
        <v>912</v>
      </c>
      <c r="H35" s="380" t="s">
        <v>819</v>
      </c>
      <c r="I35" s="380" t="s">
        <v>913</v>
      </c>
      <c r="J35" s="380" t="s">
        <v>914</v>
      </c>
      <c r="K35" s="382">
        <v>0.0</v>
      </c>
      <c r="L35" s="215"/>
      <c r="M35" s="6"/>
      <c r="N35" s="6"/>
      <c r="O35" s="6"/>
      <c r="P35" s="6"/>
      <c r="Q35" s="6"/>
      <c r="R35" s="6"/>
      <c r="S35" s="6"/>
      <c r="T35" s="6"/>
      <c r="U35" s="6"/>
      <c r="V35" s="6"/>
      <c r="W35" s="6"/>
      <c r="X35" s="6"/>
      <c r="Y35" s="6"/>
      <c r="Z35" s="6"/>
    </row>
    <row r="36" ht="33.75" customHeight="1">
      <c r="A36" s="379">
        <v>66.0</v>
      </c>
      <c r="B36" s="380" t="s">
        <v>292</v>
      </c>
      <c r="C36" s="380" t="s">
        <v>293</v>
      </c>
      <c r="D36" s="381">
        <v>0.0</v>
      </c>
      <c r="E36" s="380" t="s">
        <v>817</v>
      </c>
      <c r="F36" s="382">
        <v>0.0</v>
      </c>
      <c r="G36" s="380" t="s">
        <v>818</v>
      </c>
      <c r="H36" s="380" t="s">
        <v>819</v>
      </c>
      <c r="I36" s="380" t="s">
        <v>913</v>
      </c>
      <c r="J36" s="380" t="s">
        <v>914</v>
      </c>
      <c r="K36" s="382">
        <v>0.0</v>
      </c>
      <c r="L36" s="215"/>
      <c r="M36" s="6"/>
      <c r="N36" s="6"/>
      <c r="O36" s="6"/>
      <c r="P36" s="6"/>
      <c r="Q36" s="6"/>
      <c r="R36" s="6"/>
      <c r="S36" s="6"/>
      <c r="T36" s="6"/>
      <c r="U36" s="6"/>
      <c r="V36" s="6"/>
      <c r="W36" s="6"/>
      <c r="X36" s="6"/>
      <c r="Y36" s="6"/>
      <c r="Z36" s="6"/>
    </row>
    <row r="37" ht="33.75" customHeight="1">
      <c r="A37" s="379">
        <v>67.0</v>
      </c>
      <c r="B37" s="380" t="s">
        <v>294</v>
      </c>
      <c r="C37" s="380" t="s">
        <v>295</v>
      </c>
      <c r="D37" s="381">
        <v>0.0</v>
      </c>
      <c r="E37" s="380" t="s">
        <v>817</v>
      </c>
      <c r="F37" s="382">
        <v>0.0</v>
      </c>
      <c r="G37" s="380" t="s">
        <v>917</v>
      </c>
      <c r="H37" s="380" t="s">
        <v>819</v>
      </c>
      <c r="I37" s="380" t="s">
        <v>913</v>
      </c>
      <c r="J37" s="380" t="s">
        <v>914</v>
      </c>
      <c r="K37" s="382">
        <v>0.0</v>
      </c>
      <c r="L37" s="215"/>
      <c r="M37" s="6"/>
      <c r="N37" s="6"/>
      <c r="O37" s="6"/>
      <c r="P37" s="6"/>
      <c r="Q37" s="6"/>
      <c r="R37" s="6"/>
      <c r="S37" s="6"/>
      <c r="T37" s="6"/>
      <c r="U37" s="6"/>
      <c r="V37" s="6"/>
      <c r="W37" s="6"/>
      <c r="X37" s="6"/>
      <c r="Y37" s="6"/>
      <c r="Z37" s="6"/>
    </row>
    <row r="38" ht="33.75" customHeight="1">
      <c r="A38" s="379">
        <v>73.0</v>
      </c>
      <c r="B38" s="380" t="s">
        <v>307</v>
      </c>
      <c r="C38" s="380" t="s">
        <v>308</v>
      </c>
      <c r="D38" s="381">
        <v>0.0</v>
      </c>
      <c r="E38" s="380" t="s">
        <v>817</v>
      </c>
      <c r="F38" s="382">
        <v>0.0</v>
      </c>
      <c r="G38" s="380" t="s">
        <v>923</v>
      </c>
      <c r="H38" s="380" t="s">
        <v>924</v>
      </c>
      <c r="I38" s="380" t="s">
        <v>925</v>
      </c>
      <c r="J38" s="380" t="s">
        <v>926</v>
      </c>
      <c r="K38" s="380" t="s">
        <v>927</v>
      </c>
      <c r="L38" s="215"/>
      <c r="M38" s="6"/>
      <c r="N38" s="6"/>
      <c r="O38" s="6"/>
      <c r="P38" s="6"/>
      <c r="Q38" s="6"/>
      <c r="R38" s="6"/>
      <c r="S38" s="6"/>
      <c r="T38" s="6"/>
      <c r="U38" s="6"/>
      <c r="V38" s="6"/>
      <c r="W38" s="6"/>
      <c r="X38" s="6"/>
      <c r="Y38" s="6"/>
      <c r="Z38" s="6"/>
    </row>
    <row r="39" ht="56.25" customHeight="1">
      <c r="A39" s="379">
        <v>77.0</v>
      </c>
      <c r="B39" s="380" t="s">
        <v>320</v>
      </c>
      <c r="C39" s="380" t="s">
        <v>321</v>
      </c>
      <c r="D39" s="381">
        <v>0.0</v>
      </c>
      <c r="E39" s="380" t="s">
        <v>864</v>
      </c>
      <c r="F39" s="382">
        <v>0.0</v>
      </c>
      <c r="G39" s="382">
        <v>0.0</v>
      </c>
      <c r="H39" s="382">
        <v>0.0</v>
      </c>
      <c r="I39" s="382">
        <v>0.0</v>
      </c>
      <c r="J39" s="380" t="s">
        <v>926</v>
      </c>
      <c r="K39" s="380" t="s">
        <v>931</v>
      </c>
      <c r="L39" s="215"/>
      <c r="M39" s="6"/>
      <c r="N39" s="6"/>
      <c r="O39" s="6"/>
      <c r="P39" s="6"/>
      <c r="Q39" s="6"/>
      <c r="R39" s="6"/>
      <c r="S39" s="6"/>
      <c r="T39" s="6"/>
      <c r="U39" s="6"/>
      <c r="V39" s="6"/>
      <c r="W39" s="6"/>
      <c r="X39" s="6"/>
      <c r="Y39" s="6"/>
      <c r="Z39" s="6"/>
    </row>
    <row r="40" ht="101.25" customHeight="1">
      <c r="A40" s="379">
        <v>80.0</v>
      </c>
      <c r="B40" s="380" t="s">
        <v>331</v>
      </c>
      <c r="C40" s="380" t="s">
        <v>3144</v>
      </c>
      <c r="D40" s="381">
        <v>0.0</v>
      </c>
      <c r="E40" s="380" t="s">
        <v>864</v>
      </c>
      <c r="F40" s="382">
        <v>0.0</v>
      </c>
      <c r="G40" s="380" t="s">
        <v>868</v>
      </c>
      <c r="H40" s="380" t="s">
        <v>932</v>
      </c>
      <c r="I40" s="380" t="s">
        <v>933</v>
      </c>
      <c r="J40" s="380" t="s">
        <v>926</v>
      </c>
      <c r="K40" s="382">
        <v>12.1</v>
      </c>
      <c r="L40" s="215"/>
      <c r="M40" s="6"/>
      <c r="N40" s="6"/>
      <c r="O40" s="6"/>
      <c r="P40" s="6"/>
      <c r="Q40" s="6"/>
      <c r="R40" s="6"/>
      <c r="S40" s="6"/>
      <c r="T40" s="6"/>
      <c r="U40" s="6"/>
      <c r="V40" s="6"/>
      <c r="W40" s="6"/>
      <c r="X40" s="6"/>
      <c r="Y40" s="6"/>
      <c r="Z40" s="6"/>
    </row>
    <row r="41" ht="33.75" customHeight="1">
      <c r="A41" s="379">
        <v>88.0</v>
      </c>
      <c r="B41" s="380" t="s">
        <v>354</v>
      </c>
      <c r="C41" s="380" t="s">
        <v>355</v>
      </c>
      <c r="D41" s="381">
        <v>0.0</v>
      </c>
      <c r="E41" s="380" t="s">
        <v>860</v>
      </c>
      <c r="F41" s="382">
        <v>0.0</v>
      </c>
      <c r="G41" s="382">
        <v>0.0</v>
      </c>
      <c r="H41" s="380" t="s">
        <v>941</v>
      </c>
      <c r="I41" s="380" t="s">
        <v>942</v>
      </c>
      <c r="J41" s="380" t="s">
        <v>943</v>
      </c>
      <c r="K41" s="382">
        <v>12.8</v>
      </c>
      <c r="L41" s="215"/>
      <c r="M41" s="6"/>
      <c r="N41" s="6"/>
      <c r="O41" s="6"/>
      <c r="P41" s="6"/>
      <c r="Q41" s="6"/>
      <c r="R41" s="6"/>
      <c r="S41" s="6"/>
      <c r="T41" s="6"/>
      <c r="U41" s="6"/>
      <c r="V41" s="6"/>
      <c r="W41" s="6"/>
      <c r="X41" s="6"/>
      <c r="Y41" s="6"/>
      <c r="Z41" s="6"/>
    </row>
    <row r="42" ht="22.5" customHeight="1">
      <c r="A42" s="379">
        <v>90.0</v>
      </c>
      <c r="B42" s="380" t="s">
        <v>359</v>
      </c>
      <c r="C42" s="380" t="s">
        <v>360</v>
      </c>
      <c r="D42" s="381">
        <v>0.0</v>
      </c>
      <c r="E42" s="380" t="s">
        <v>809</v>
      </c>
      <c r="F42" s="382">
        <v>0.0</v>
      </c>
      <c r="G42" s="380" t="s">
        <v>947</v>
      </c>
      <c r="H42" s="380" t="s">
        <v>948</v>
      </c>
      <c r="I42" s="382">
        <v>0.0</v>
      </c>
      <c r="J42" s="382">
        <v>0.0</v>
      </c>
      <c r="K42" s="380" t="s">
        <v>949</v>
      </c>
      <c r="L42" s="215"/>
      <c r="M42" s="6"/>
      <c r="N42" s="6"/>
      <c r="O42" s="6"/>
      <c r="P42" s="6"/>
      <c r="Q42" s="6"/>
      <c r="R42" s="6"/>
      <c r="S42" s="6"/>
      <c r="T42" s="6"/>
      <c r="U42" s="6"/>
      <c r="V42" s="6"/>
      <c r="W42" s="6"/>
      <c r="X42" s="6"/>
      <c r="Y42" s="6"/>
      <c r="Z42" s="6"/>
    </row>
    <row r="43" ht="22.5" customHeight="1">
      <c r="A43" s="379">
        <v>91.0</v>
      </c>
      <c r="B43" s="380" t="s">
        <v>362</v>
      </c>
      <c r="C43" s="380" t="s">
        <v>363</v>
      </c>
      <c r="D43" s="381">
        <v>0.0</v>
      </c>
      <c r="E43" s="380" t="s">
        <v>809</v>
      </c>
      <c r="F43" s="382">
        <v>0.0</v>
      </c>
      <c r="G43" s="380" t="s">
        <v>950</v>
      </c>
      <c r="H43" s="380" t="s">
        <v>951</v>
      </c>
      <c r="I43" s="380" t="s">
        <v>952</v>
      </c>
      <c r="J43" s="380" t="s">
        <v>953</v>
      </c>
      <c r="K43" s="382">
        <v>12.8</v>
      </c>
      <c r="L43" s="215"/>
      <c r="M43" s="6"/>
      <c r="N43" s="6"/>
      <c r="O43" s="6"/>
      <c r="P43" s="6"/>
      <c r="Q43" s="6"/>
      <c r="R43" s="6"/>
      <c r="S43" s="6"/>
      <c r="T43" s="6"/>
      <c r="U43" s="6"/>
      <c r="V43" s="6"/>
      <c r="W43" s="6"/>
      <c r="X43" s="6"/>
      <c r="Y43" s="6"/>
      <c r="Z43" s="6"/>
    </row>
    <row r="44" ht="45.0" customHeight="1">
      <c r="A44" s="379">
        <v>92.0</v>
      </c>
      <c r="B44" s="380" t="s">
        <v>365</v>
      </c>
      <c r="C44" s="380" t="s">
        <v>366</v>
      </c>
      <c r="D44" s="381">
        <v>0.0</v>
      </c>
      <c r="E44" s="380" t="s">
        <v>809</v>
      </c>
      <c r="F44" s="382">
        <v>0.0</v>
      </c>
      <c r="G44" s="380" t="s">
        <v>950</v>
      </c>
      <c r="H44" s="382">
        <v>0.0</v>
      </c>
      <c r="I44" s="380" t="s">
        <v>954</v>
      </c>
      <c r="J44" s="382">
        <v>0.0</v>
      </c>
      <c r="K44" s="382">
        <v>12.1</v>
      </c>
      <c r="L44" s="215"/>
      <c r="M44" s="6"/>
      <c r="N44" s="6"/>
      <c r="O44" s="6"/>
      <c r="P44" s="6"/>
      <c r="Q44" s="6"/>
      <c r="R44" s="6"/>
      <c r="S44" s="6"/>
      <c r="T44" s="6"/>
      <c r="U44" s="6"/>
      <c r="V44" s="6"/>
      <c r="W44" s="6"/>
      <c r="X44" s="6"/>
      <c r="Y44" s="6"/>
      <c r="Z44" s="6"/>
    </row>
    <row r="45" ht="67.5" customHeight="1">
      <c r="A45" s="379">
        <v>93.0</v>
      </c>
      <c r="B45" s="380" t="s">
        <v>367</v>
      </c>
      <c r="C45" s="380" t="s">
        <v>368</v>
      </c>
      <c r="D45" s="381">
        <v>0.0</v>
      </c>
      <c r="E45" s="380" t="s">
        <v>809</v>
      </c>
      <c r="F45" s="382">
        <v>0.0</v>
      </c>
      <c r="G45" s="380" t="s">
        <v>955</v>
      </c>
      <c r="H45" s="380" t="s">
        <v>948</v>
      </c>
      <c r="I45" s="382">
        <v>0.0</v>
      </c>
      <c r="J45" s="380" t="s">
        <v>956</v>
      </c>
      <c r="K45" s="380" t="s">
        <v>949</v>
      </c>
      <c r="L45" s="215"/>
      <c r="M45" s="6"/>
      <c r="N45" s="6"/>
      <c r="O45" s="6"/>
      <c r="P45" s="6"/>
      <c r="Q45" s="6"/>
      <c r="R45" s="6"/>
      <c r="S45" s="6"/>
      <c r="T45" s="6"/>
      <c r="U45" s="6"/>
      <c r="V45" s="6"/>
      <c r="W45" s="6"/>
      <c r="X45" s="6"/>
      <c r="Y45" s="6"/>
      <c r="Z45" s="6"/>
    </row>
    <row r="46" ht="22.5" customHeight="1">
      <c r="A46" s="379">
        <v>95.0</v>
      </c>
      <c r="B46" s="380" t="s">
        <v>374</v>
      </c>
      <c r="C46" s="380" t="s">
        <v>375</v>
      </c>
      <c r="D46" s="381">
        <v>0.0</v>
      </c>
      <c r="E46" s="380" t="s">
        <v>809</v>
      </c>
      <c r="F46" s="382">
        <v>0.0</v>
      </c>
      <c r="G46" s="380" t="s">
        <v>959</v>
      </c>
      <c r="H46" s="382">
        <v>0.0</v>
      </c>
      <c r="I46" s="380" t="s">
        <v>958</v>
      </c>
      <c r="J46" s="380" t="s">
        <v>846</v>
      </c>
      <c r="K46" s="382">
        <v>12.8</v>
      </c>
      <c r="L46" s="215"/>
      <c r="M46" s="6"/>
      <c r="N46" s="6"/>
      <c r="O46" s="6"/>
      <c r="P46" s="6"/>
      <c r="Q46" s="6"/>
      <c r="R46" s="6"/>
      <c r="S46" s="6"/>
      <c r="T46" s="6"/>
      <c r="U46" s="6"/>
      <c r="V46" s="6"/>
      <c r="W46" s="6"/>
      <c r="X46" s="6"/>
      <c r="Y46" s="6"/>
      <c r="Z46" s="6"/>
    </row>
    <row r="47" ht="33.75" customHeight="1">
      <c r="A47" s="379">
        <v>98.0</v>
      </c>
      <c r="B47" s="380" t="s">
        <v>382</v>
      </c>
      <c r="C47" s="380" t="s">
        <v>383</v>
      </c>
      <c r="D47" s="381">
        <v>0.0</v>
      </c>
      <c r="E47" s="380" t="s">
        <v>809</v>
      </c>
      <c r="F47" s="382">
        <v>0.0</v>
      </c>
      <c r="G47" s="380" t="s">
        <v>961</v>
      </c>
      <c r="H47" s="382">
        <v>0.0</v>
      </c>
      <c r="I47" s="380" t="s">
        <v>958</v>
      </c>
      <c r="J47" s="382">
        <v>0.0</v>
      </c>
      <c r="K47" s="382">
        <v>12.8</v>
      </c>
      <c r="L47" s="215"/>
      <c r="M47" s="6"/>
      <c r="N47" s="6"/>
      <c r="O47" s="6"/>
      <c r="P47" s="6"/>
      <c r="Q47" s="6"/>
      <c r="R47" s="6"/>
      <c r="S47" s="6"/>
      <c r="T47" s="6"/>
      <c r="U47" s="6"/>
      <c r="V47" s="6"/>
      <c r="W47" s="6"/>
      <c r="X47" s="6"/>
      <c r="Y47" s="6"/>
      <c r="Z47" s="6"/>
    </row>
    <row r="48" ht="18.0" customHeight="1">
      <c r="A48" s="379">
        <v>104.0</v>
      </c>
      <c r="B48" s="380" t="s">
        <v>400</v>
      </c>
      <c r="C48" s="380" t="s">
        <v>401</v>
      </c>
      <c r="D48" s="381">
        <v>0.0</v>
      </c>
      <c r="E48" s="380" t="s">
        <v>817</v>
      </c>
      <c r="F48" s="382">
        <v>0.0</v>
      </c>
      <c r="G48" s="380" t="s">
        <v>960</v>
      </c>
      <c r="H48" s="380" t="s">
        <v>967</v>
      </c>
      <c r="I48" s="380" t="s">
        <v>964</v>
      </c>
      <c r="J48" s="380" t="s">
        <v>965</v>
      </c>
      <c r="K48" s="382">
        <v>0.0</v>
      </c>
      <c r="L48" s="215"/>
      <c r="M48" s="6"/>
      <c r="N48" s="6"/>
      <c r="O48" s="6"/>
      <c r="P48" s="6"/>
      <c r="Q48" s="6"/>
      <c r="R48" s="6"/>
      <c r="S48" s="6"/>
      <c r="T48" s="6"/>
      <c r="U48" s="6"/>
      <c r="V48" s="6"/>
      <c r="W48" s="6"/>
      <c r="X48" s="6"/>
      <c r="Y48" s="6"/>
      <c r="Z48" s="6"/>
    </row>
    <row r="49" ht="56.25" customHeight="1">
      <c r="A49" s="379">
        <v>109.0</v>
      </c>
      <c r="B49" s="380" t="s">
        <v>415</v>
      </c>
      <c r="C49" s="380" t="s">
        <v>416</v>
      </c>
      <c r="D49" s="381">
        <v>0.0</v>
      </c>
      <c r="E49" s="380" t="s">
        <v>809</v>
      </c>
      <c r="F49" s="382">
        <v>0.0</v>
      </c>
      <c r="G49" s="380" t="s">
        <v>975</v>
      </c>
      <c r="H49" s="380" t="s">
        <v>976</v>
      </c>
      <c r="I49" s="380" t="s">
        <v>977</v>
      </c>
      <c r="J49" s="380" t="s">
        <v>978</v>
      </c>
      <c r="K49" s="380" t="s">
        <v>966</v>
      </c>
      <c r="L49" s="215"/>
      <c r="M49" s="6"/>
      <c r="N49" s="6"/>
      <c r="O49" s="6"/>
      <c r="P49" s="6"/>
      <c r="Q49" s="6"/>
      <c r="R49" s="6"/>
      <c r="S49" s="6"/>
      <c r="T49" s="6"/>
      <c r="U49" s="6"/>
      <c r="V49" s="6"/>
      <c r="W49" s="6"/>
      <c r="X49" s="6"/>
      <c r="Y49" s="6"/>
      <c r="Z49" s="6"/>
    </row>
    <row r="50" ht="22.5" customHeight="1">
      <c r="A50" s="379">
        <v>114.0</v>
      </c>
      <c r="B50" s="380" t="s">
        <v>428</v>
      </c>
      <c r="C50" s="380" t="s">
        <v>429</v>
      </c>
      <c r="D50" s="381">
        <v>0.0</v>
      </c>
      <c r="E50" s="380" t="s">
        <v>986</v>
      </c>
      <c r="F50" s="382">
        <v>0.0</v>
      </c>
      <c r="G50" s="380" t="s">
        <v>987</v>
      </c>
      <c r="H50" s="380" t="s">
        <v>881</v>
      </c>
      <c r="I50" s="382">
        <v>0.0</v>
      </c>
      <c r="J50" s="382">
        <v>0.0</v>
      </c>
      <c r="K50" s="382">
        <v>0.0</v>
      </c>
      <c r="L50" s="215"/>
      <c r="M50" s="6"/>
      <c r="N50" s="6"/>
      <c r="O50" s="6"/>
      <c r="P50" s="6"/>
      <c r="Q50" s="6"/>
      <c r="R50" s="6"/>
      <c r="S50" s="6"/>
      <c r="T50" s="6"/>
      <c r="U50" s="6"/>
      <c r="V50" s="6"/>
      <c r="W50" s="6"/>
      <c r="X50" s="6"/>
      <c r="Y50" s="6"/>
      <c r="Z50" s="6"/>
    </row>
    <row r="51" ht="22.5" customHeight="1">
      <c r="A51" s="379">
        <v>115.0</v>
      </c>
      <c r="B51" s="380" t="s">
        <v>430</v>
      </c>
      <c r="C51" s="380" t="s">
        <v>431</v>
      </c>
      <c r="D51" s="381">
        <v>0.0</v>
      </c>
      <c r="E51" s="380" t="s">
        <v>809</v>
      </c>
      <c r="F51" s="382">
        <v>0.0</v>
      </c>
      <c r="G51" s="380" t="s">
        <v>947</v>
      </c>
      <c r="H51" s="380" t="s">
        <v>951</v>
      </c>
      <c r="I51" s="382">
        <v>0.0</v>
      </c>
      <c r="J51" s="382">
        <v>0.0</v>
      </c>
      <c r="K51" s="382">
        <v>0.0</v>
      </c>
      <c r="L51" s="215"/>
      <c r="M51" s="6"/>
      <c r="N51" s="6"/>
      <c r="O51" s="6"/>
      <c r="P51" s="6"/>
      <c r="Q51" s="6"/>
      <c r="R51" s="6"/>
      <c r="S51" s="6"/>
      <c r="T51" s="6"/>
      <c r="U51" s="6"/>
      <c r="V51" s="6"/>
      <c r="W51" s="6"/>
      <c r="X51" s="6"/>
      <c r="Y51" s="6"/>
      <c r="Z51" s="6"/>
    </row>
    <row r="52" ht="22.5" customHeight="1">
      <c r="A52" s="379">
        <v>116.0</v>
      </c>
      <c r="B52" s="380" t="s">
        <v>433</v>
      </c>
      <c r="C52" s="380" t="s">
        <v>434</v>
      </c>
      <c r="D52" s="381">
        <v>0.0</v>
      </c>
      <c r="E52" s="380" t="s">
        <v>809</v>
      </c>
      <c r="F52" s="382">
        <v>0.0</v>
      </c>
      <c r="G52" s="380" t="s">
        <v>947</v>
      </c>
      <c r="H52" s="380" t="s">
        <v>988</v>
      </c>
      <c r="I52" s="382">
        <v>0.0</v>
      </c>
      <c r="J52" s="382">
        <v>0.0</v>
      </c>
      <c r="K52" s="382">
        <v>0.0</v>
      </c>
      <c r="L52" s="215"/>
      <c r="M52" s="6"/>
      <c r="N52" s="6"/>
      <c r="O52" s="6"/>
      <c r="P52" s="6"/>
      <c r="Q52" s="6"/>
      <c r="R52" s="6"/>
      <c r="S52" s="6"/>
      <c r="T52" s="6"/>
      <c r="U52" s="6"/>
      <c r="V52" s="6"/>
      <c r="W52" s="6"/>
      <c r="X52" s="6"/>
      <c r="Y52" s="6"/>
      <c r="Z52" s="6"/>
    </row>
    <row r="53" ht="22.5" customHeight="1">
      <c r="A53" s="379">
        <v>120.0</v>
      </c>
      <c r="B53" s="380" t="s">
        <v>442</v>
      </c>
      <c r="C53" s="380" t="s">
        <v>443</v>
      </c>
      <c r="D53" s="381">
        <v>0.0</v>
      </c>
      <c r="E53" s="380" t="s">
        <v>991</v>
      </c>
      <c r="F53" s="382">
        <v>0.0</v>
      </c>
      <c r="G53" s="382">
        <v>0.0</v>
      </c>
      <c r="H53" s="382">
        <v>0.0</v>
      </c>
      <c r="I53" s="382">
        <v>0.0</v>
      </c>
      <c r="J53" s="380" t="s">
        <v>842</v>
      </c>
      <c r="K53" s="382">
        <v>12.8</v>
      </c>
      <c r="L53" s="215"/>
      <c r="M53" s="6"/>
      <c r="N53" s="6"/>
      <c r="O53" s="6"/>
      <c r="P53" s="6"/>
      <c r="Q53" s="6"/>
      <c r="R53" s="6"/>
      <c r="S53" s="6"/>
      <c r="T53" s="6"/>
      <c r="U53" s="6"/>
      <c r="V53" s="6"/>
      <c r="W53" s="6"/>
      <c r="X53" s="6"/>
      <c r="Y53" s="6"/>
      <c r="Z53" s="6"/>
    </row>
    <row r="54" ht="22.5" customHeight="1">
      <c r="A54" s="379">
        <v>125.0</v>
      </c>
      <c r="B54" s="380" t="s">
        <v>456</v>
      </c>
      <c r="C54" s="380" t="s">
        <v>457</v>
      </c>
      <c r="D54" s="381">
        <v>0.0</v>
      </c>
      <c r="E54" s="380" t="s">
        <v>860</v>
      </c>
      <c r="F54" s="382">
        <v>0.0</v>
      </c>
      <c r="G54" s="380" t="s">
        <v>811</v>
      </c>
      <c r="H54" s="382">
        <v>0.0</v>
      </c>
      <c r="I54" s="382">
        <v>0.0</v>
      </c>
      <c r="J54" s="382">
        <v>0.0</v>
      </c>
      <c r="K54" s="382">
        <v>12.9</v>
      </c>
      <c r="L54" s="215"/>
      <c r="M54" s="6"/>
      <c r="N54" s="6"/>
      <c r="O54" s="6"/>
      <c r="P54" s="6"/>
      <c r="Q54" s="6"/>
      <c r="R54" s="6"/>
      <c r="S54" s="6"/>
      <c r="T54" s="6"/>
      <c r="U54" s="6"/>
      <c r="V54" s="6"/>
      <c r="W54" s="6"/>
      <c r="X54" s="6"/>
      <c r="Y54" s="6"/>
      <c r="Z54" s="6"/>
    </row>
    <row r="55" ht="22.5" customHeight="1">
      <c r="A55" s="379">
        <v>136.0</v>
      </c>
      <c r="B55" s="380" t="s">
        <v>489</v>
      </c>
      <c r="C55" s="380" t="s">
        <v>490</v>
      </c>
      <c r="D55" s="381">
        <v>0.0</v>
      </c>
      <c r="E55" s="380" t="s">
        <v>817</v>
      </c>
      <c r="F55" s="382">
        <v>0.0</v>
      </c>
      <c r="G55" s="380" t="s">
        <v>912</v>
      </c>
      <c r="H55" s="380" t="s">
        <v>819</v>
      </c>
      <c r="I55" s="380" t="s">
        <v>913</v>
      </c>
      <c r="J55" s="380" t="s">
        <v>915</v>
      </c>
      <c r="K55" s="382">
        <v>12.8</v>
      </c>
      <c r="L55" s="215"/>
      <c r="M55" s="6"/>
      <c r="N55" s="6"/>
      <c r="O55" s="6"/>
      <c r="P55" s="6"/>
      <c r="Q55" s="6"/>
      <c r="R55" s="6"/>
      <c r="S55" s="6"/>
      <c r="T55" s="6"/>
      <c r="U55" s="6"/>
      <c r="V55" s="6"/>
      <c r="W55" s="6"/>
      <c r="X55" s="6"/>
      <c r="Y55" s="6"/>
      <c r="Z55" s="6"/>
    </row>
    <row r="56" ht="33.75" customHeight="1">
      <c r="A56" s="379">
        <v>142.0</v>
      </c>
      <c r="B56" s="380" t="s">
        <v>506</v>
      </c>
      <c r="C56" s="380" t="s">
        <v>507</v>
      </c>
      <c r="D56" s="381">
        <v>0.0</v>
      </c>
      <c r="E56" s="380" t="s">
        <v>817</v>
      </c>
      <c r="F56" s="382">
        <v>0.0</v>
      </c>
      <c r="G56" s="382">
        <v>0.0</v>
      </c>
      <c r="H56" s="380" t="s">
        <v>819</v>
      </c>
      <c r="I56" s="380" t="s">
        <v>913</v>
      </c>
      <c r="J56" s="380" t="s">
        <v>915</v>
      </c>
      <c r="K56" s="382">
        <v>12.8</v>
      </c>
      <c r="L56" s="215"/>
      <c r="M56" s="6"/>
      <c r="N56" s="6"/>
      <c r="O56" s="6"/>
      <c r="P56" s="6"/>
      <c r="Q56" s="6"/>
      <c r="R56" s="6"/>
      <c r="S56" s="6"/>
      <c r="T56" s="6"/>
      <c r="U56" s="6"/>
      <c r="V56" s="6"/>
      <c r="W56" s="6"/>
      <c r="X56" s="6"/>
      <c r="Y56" s="6"/>
      <c r="Z56" s="6"/>
    </row>
    <row r="57" ht="22.5" customHeight="1">
      <c r="A57" s="379">
        <v>149.0</v>
      </c>
      <c r="B57" s="380" t="s">
        <v>525</v>
      </c>
      <c r="C57" s="380" t="s">
        <v>526</v>
      </c>
      <c r="D57" s="381">
        <v>0.0</v>
      </c>
      <c r="E57" s="380" t="s">
        <v>995</v>
      </c>
      <c r="F57" s="382">
        <v>0.0</v>
      </c>
      <c r="G57" s="380" t="s">
        <v>1006</v>
      </c>
      <c r="H57" s="380" t="s">
        <v>1007</v>
      </c>
      <c r="I57" s="382">
        <v>0.0</v>
      </c>
      <c r="J57" s="382">
        <v>0.0</v>
      </c>
      <c r="K57" s="382">
        <v>1.1</v>
      </c>
      <c r="L57" s="215"/>
      <c r="M57" s="6"/>
      <c r="N57" s="6"/>
      <c r="O57" s="6"/>
      <c r="P57" s="6"/>
      <c r="Q57" s="6"/>
      <c r="R57" s="6"/>
      <c r="S57" s="6"/>
      <c r="T57" s="6"/>
      <c r="U57" s="6"/>
      <c r="V57" s="6"/>
      <c r="W57" s="6"/>
      <c r="X57" s="6"/>
      <c r="Y57" s="6"/>
      <c r="Z57" s="6"/>
    </row>
    <row r="58" ht="22.5" customHeight="1">
      <c r="A58" s="379">
        <v>150.0</v>
      </c>
      <c r="B58" s="380" t="s">
        <v>528</v>
      </c>
      <c r="C58" s="380" t="s">
        <v>529</v>
      </c>
      <c r="D58" s="381">
        <v>0.0</v>
      </c>
      <c r="E58" s="380" t="s">
        <v>995</v>
      </c>
      <c r="F58" s="382">
        <v>0.0</v>
      </c>
      <c r="G58" s="380" t="s">
        <v>1006</v>
      </c>
      <c r="H58" s="380" t="s">
        <v>1007</v>
      </c>
      <c r="I58" s="382">
        <v>0.0</v>
      </c>
      <c r="J58" s="382">
        <v>0.0</v>
      </c>
      <c r="K58" s="382">
        <v>1.1</v>
      </c>
      <c r="L58" s="215"/>
      <c r="M58" s="6"/>
      <c r="N58" s="6"/>
      <c r="O58" s="6"/>
      <c r="P58" s="6"/>
      <c r="Q58" s="6"/>
      <c r="R58" s="6"/>
      <c r="S58" s="6"/>
      <c r="T58" s="6"/>
      <c r="U58" s="6"/>
      <c r="V58" s="6"/>
      <c r="W58" s="6"/>
      <c r="X58" s="6"/>
      <c r="Y58" s="6"/>
      <c r="Z58" s="6"/>
    </row>
    <row r="59" ht="22.5" customHeight="1">
      <c r="A59" s="379">
        <v>152.0</v>
      </c>
      <c r="B59" s="380" t="s">
        <v>535</v>
      </c>
      <c r="C59" s="380" t="s">
        <v>536</v>
      </c>
      <c r="D59" s="381">
        <v>0.0</v>
      </c>
      <c r="E59" s="380" t="s">
        <v>995</v>
      </c>
      <c r="F59" s="382">
        <v>0.0</v>
      </c>
      <c r="G59" s="380" t="s">
        <v>923</v>
      </c>
      <c r="H59" s="380" t="s">
        <v>996</v>
      </c>
      <c r="I59" s="382">
        <v>0.0</v>
      </c>
      <c r="J59" s="382">
        <v>0.0</v>
      </c>
      <c r="K59" s="382">
        <v>1.1</v>
      </c>
      <c r="L59" s="215"/>
      <c r="M59" s="6"/>
      <c r="N59" s="6"/>
      <c r="O59" s="6"/>
      <c r="P59" s="6"/>
      <c r="Q59" s="6"/>
      <c r="R59" s="6"/>
      <c r="S59" s="6"/>
      <c r="T59" s="6"/>
      <c r="U59" s="6"/>
      <c r="V59" s="6"/>
      <c r="W59" s="6"/>
      <c r="X59" s="6"/>
      <c r="Y59" s="6"/>
      <c r="Z59" s="6"/>
    </row>
    <row r="60" ht="22.5" customHeight="1">
      <c r="A60" s="379">
        <v>153.0</v>
      </c>
      <c r="B60" s="380" t="s">
        <v>538</v>
      </c>
      <c r="C60" s="380" t="s">
        <v>539</v>
      </c>
      <c r="D60" s="381">
        <v>0.0</v>
      </c>
      <c r="E60" s="380" t="s">
        <v>1009</v>
      </c>
      <c r="F60" s="382">
        <v>0.0</v>
      </c>
      <c r="G60" s="380" t="s">
        <v>992</v>
      </c>
      <c r="H60" s="380" t="s">
        <v>1010</v>
      </c>
      <c r="I60" s="380" t="s">
        <v>1011</v>
      </c>
      <c r="J60" s="380" t="s">
        <v>1012</v>
      </c>
      <c r="K60" s="382">
        <v>11.4</v>
      </c>
      <c r="L60" s="215"/>
      <c r="M60" s="6"/>
      <c r="N60" s="6"/>
      <c r="O60" s="6"/>
      <c r="P60" s="6"/>
      <c r="Q60" s="6"/>
      <c r="R60" s="6"/>
      <c r="S60" s="6"/>
      <c r="T60" s="6"/>
      <c r="U60" s="6"/>
      <c r="V60" s="6"/>
      <c r="W60" s="6"/>
      <c r="X60" s="6"/>
      <c r="Y60" s="6"/>
      <c r="Z60" s="6"/>
    </row>
    <row r="61" ht="22.5" customHeight="1">
      <c r="A61" s="379">
        <v>155.0</v>
      </c>
      <c r="B61" s="380" t="s">
        <v>544</v>
      </c>
      <c r="C61" s="380" t="s">
        <v>545</v>
      </c>
      <c r="D61" s="381">
        <v>0.0</v>
      </c>
      <c r="E61" s="380" t="s">
        <v>1009</v>
      </c>
      <c r="F61" s="382">
        <v>0.0</v>
      </c>
      <c r="G61" s="380" t="s">
        <v>992</v>
      </c>
      <c r="H61" s="380" t="s">
        <v>1010</v>
      </c>
      <c r="I61" s="380" t="s">
        <v>1011</v>
      </c>
      <c r="J61" s="380" t="s">
        <v>1012</v>
      </c>
      <c r="K61" s="382">
        <v>11.4</v>
      </c>
      <c r="L61" s="215"/>
      <c r="M61" s="6"/>
      <c r="N61" s="6"/>
      <c r="O61" s="6"/>
      <c r="P61" s="6"/>
      <c r="Q61" s="6"/>
      <c r="R61" s="6"/>
      <c r="S61" s="6"/>
      <c r="T61" s="6"/>
      <c r="U61" s="6"/>
      <c r="V61" s="6"/>
      <c r="W61" s="6"/>
      <c r="X61" s="6"/>
      <c r="Y61" s="6"/>
      <c r="Z61" s="6"/>
    </row>
    <row r="62" ht="33.75" customHeight="1">
      <c r="A62" s="379">
        <v>160.0</v>
      </c>
      <c r="B62" s="380" t="s">
        <v>559</v>
      </c>
      <c r="C62" s="380" t="s">
        <v>560</v>
      </c>
      <c r="D62" s="381">
        <v>0.0</v>
      </c>
      <c r="E62" s="380" t="s">
        <v>901</v>
      </c>
      <c r="F62" s="382">
        <v>0.0</v>
      </c>
      <c r="G62" s="380" t="s">
        <v>1013</v>
      </c>
      <c r="H62" s="380" t="s">
        <v>1017</v>
      </c>
      <c r="I62" s="380" t="s">
        <v>1018</v>
      </c>
      <c r="J62" s="380" t="s">
        <v>1019</v>
      </c>
      <c r="K62" s="380" t="s">
        <v>1020</v>
      </c>
      <c r="L62" s="215"/>
      <c r="M62" s="6"/>
      <c r="N62" s="6"/>
      <c r="O62" s="6"/>
      <c r="P62" s="6"/>
      <c r="Q62" s="6"/>
      <c r="R62" s="6"/>
      <c r="S62" s="6"/>
      <c r="T62" s="6"/>
      <c r="U62" s="6"/>
      <c r="V62" s="6"/>
      <c r="W62" s="6"/>
      <c r="X62" s="6"/>
      <c r="Y62" s="6"/>
      <c r="Z62" s="6"/>
    </row>
    <row r="63" ht="33.75" customHeight="1">
      <c r="A63" s="379">
        <v>163.0</v>
      </c>
      <c r="B63" s="380" t="s">
        <v>568</v>
      </c>
      <c r="C63" s="380" t="s">
        <v>569</v>
      </c>
      <c r="D63" s="381">
        <v>0.0</v>
      </c>
      <c r="E63" s="380" t="s">
        <v>814</v>
      </c>
      <c r="F63" s="382">
        <v>0.0</v>
      </c>
      <c r="G63" s="382">
        <v>0.0</v>
      </c>
      <c r="H63" s="380" t="s">
        <v>1021</v>
      </c>
      <c r="I63" s="382">
        <v>0.0</v>
      </c>
      <c r="J63" s="382">
        <v>0.0</v>
      </c>
      <c r="K63" s="382">
        <v>0.0</v>
      </c>
      <c r="L63" s="215"/>
      <c r="M63" s="6"/>
      <c r="N63" s="6"/>
      <c r="O63" s="6"/>
      <c r="P63" s="6"/>
      <c r="Q63" s="6"/>
      <c r="R63" s="6"/>
      <c r="S63" s="6"/>
      <c r="T63" s="6"/>
      <c r="U63" s="6"/>
      <c r="V63" s="6"/>
      <c r="W63" s="6"/>
      <c r="X63" s="6"/>
      <c r="Y63" s="6"/>
      <c r="Z63" s="6"/>
    </row>
    <row r="64" ht="22.5" customHeight="1">
      <c r="A64" s="379">
        <v>165.0</v>
      </c>
      <c r="B64" s="380" t="s">
        <v>572</v>
      </c>
      <c r="C64" s="380" t="s">
        <v>573</v>
      </c>
      <c r="D64" s="381">
        <v>0.0</v>
      </c>
      <c r="E64" s="380" t="s">
        <v>809</v>
      </c>
      <c r="F64" s="382">
        <v>0.0</v>
      </c>
      <c r="G64" s="380" t="s">
        <v>1025</v>
      </c>
      <c r="H64" s="380" t="s">
        <v>1024</v>
      </c>
      <c r="I64" s="380" t="s">
        <v>1026</v>
      </c>
      <c r="J64" s="380" t="s">
        <v>1027</v>
      </c>
      <c r="K64" s="382">
        <v>4.1</v>
      </c>
      <c r="L64" s="215"/>
      <c r="M64" s="6"/>
      <c r="N64" s="6"/>
      <c r="O64" s="6"/>
      <c r="P64" s="6"/>
      <c r="Q64" s="6"/>
      <c r="R64" s="6"/>
      <c r="S64" s="6"/>
      <c r="T64" s="6"/>
      <c r="U64" s="6"/>
      <c r="V64" s="6"/>
      <c r="W64" s="6"/>
      <c r="X64" s="6"/>
      <c r="Y64" s="6"/>
      <c r="Z64" s="6"/>
    </row>
    <row r="65" ht="22.5" customHeight="1">
      <c r="A65" s="379">
        <v>166.0</v>
      </c>
      <c r="B65" s="380" t="s">
        <v>574</v>
      </c>
      <c r="C65" s="380" t="s">
        <v>575</v>
      </c>
      <c r="D65" s="381">
        <v>0.0</v>
      </c>
      <c r="E65" s="380" t="s">
        <v>823</v>
      </c>
      <c r="F65" s="382">
        <v>0.0</v>
      </c>
      <c r="G65" s="380" t="s">
        <v>1025</v>
      </c>
      <c r="H65" s="380" t="s">
        <v>1028</v>
      </c>
      <c r="I65" s="382">
        <v>0.0</v>
      </c>
      <c r="J65" s="382">
        <v>0.0</v>
      </c>
      <c r="K65" s="382">
        <v>0.0</v>
      </c>
      <c r="L65" s="215"/>
      <c r="M65" s="6"/>
      <c r="N65" s="6"/>
      <c r="O65" s="6"/>
      <c r="P65" s="6"/>
      <c r="Q65" s="6"/>
      <c r="R65" s="6"/>
      <c r="S65" s="6"/>
      <c r="T65" s="6"/>
      <c r="U65" s="6"/>
      <c r="V65" s="6"/>
      <c r="W65" s="6"/>
      <c r="X65" s="6"/>
      <c r="Y65" s="6"/>
      <c r="Z65" s="6"/>
    </row>
    <row r="66" ht="33.75" customHeight="1">
      <c r="A66" s="379">
        <v>167.0</v>
      </c>
      <c r="B66" s="380" t="s">
        <v>576</v>
      </c>
      <c r="C66" s="380" t="s">
        <v>577</v>
      </c>
      <c r="D66" s="381">
        <v>0.0</v>
      </c>
      <c r="E66" s="380" t="s">
        <v>882</v>
      </c>
      <c r="F66" s="382">
        <v>0.0</v>
      </c>
      <c r="G66" s="380" t="s">
        <v>1029</v>
      </c>
      <c r="H66" s="382">
        <v>0.0</v>
      </c>
      <c r="I66" s="382">
        <v>0.0</v>
      </c>
      <c r="J66" s="382">
        <v>0.0</v>
      </c>
      <c r="K66" s="382">
        <v>0.0</v>
      </c>
      <c r="L66" s="215"/>
      <c r="M66" s="6"/>
      <c r="N66" s="6"/>
      <c r="O66" s="6"/>
      <c r="P66" s="6"/>
      <c r="Q66" s="6"/>
      <c r="R66" s="6"/>
      <c r="S66" s="6"/>
      <c r="T66" s="6"/>
      <c r="U66" s="6"/>
      <c r="V66" s="6"/>
      <c r="W66" s="6"/>
      <c r="X66" s="6"/>
      <c r="Y66" s="6"/>
      <c r="Z66" s="6"/>
    </row>
    <row r="67" ht="22.5" customHeight="1">
      <c r="A67" s="379">
        <v>169.0</v>
      </c>
      <c r="B67" s="380" t="s">
        <v>580</v>
      </c>
      <c r="C67" s="380" t="s">
        <v>581</v>
      </c>
      <c r="D67" s="381">
        <v>0.0</v>
      </c>
      <c r="E67" s="380" t="s">
        <v>814</v>
      </c>
      <c r="F67" s="382">
        <v>0.0</v>
      </c>
      <c r="G67" s="380" t="s">
        <v>832</v>
      </c>
      <c r="H67" s="380" t="s">
        <v>1021</v>
      </c>
      <c r="I67" s="382">
        <v>0.0</v>
      </c>
      <c r="J67" s="382">
        <v>0.0</v>
      </c>
      <c r="K67" s="382">
        <v>0.0</v>
      </c>
      <c r="L67" s="215"/>
      <c r="M67" s="6"/>
      <c r="N67" s="6"/>
      <c r="O67" s="6"/>
      <c r="P67" s="6"/>
      <c r="Q67" s="6"/>
      <c r="R67" s="6"/>
      <c r="S67" s="6"/>
      <c r="T67" s="6"/>
      <c r="U67" s="6"/>
      <c r="V67" s="6"/>
      <c r="W67" s="6"/>
      <c r="X67" s="6"/>
      <c r="Y67" s="6"/>
      <c r="Z67" s="6"/>
    </row>
    <row r="68" ht="22.5" customHeight="1">
      <c r="A68" s="379">
        <v>170.0</v>
      </c>
      <c r="B68" s="380" t="s">
        <v>582</v>
      </c>
      <c r="C68" s="380" t="s">
        <v>583</v>
      </c>
      <c r="D68" s="381">
        <v>0.0</v>
      </c>
      <c r="E68" s="380" t="s">
        <v>814</v>
      </c>
      <c r="F68" s="382">
        <v>0.0</v>
      </c>
      <c r="G68" s="380" t="s">
        <v>1030</v>
      </c>
      <c r="H68" s="380" t="s">
        <v>1031</v>
      </c>
      <c r="I68" s="382">
        <v>0.0</v>
      </c>
      <c r="J68" s="382">
        <v>0.0</v>
      </c>
      <c r="K68" s="382">
        <v>0.0</v>
      </c>
      <c r="L68" s="215"/>
      <c r="M68" s="6"/>
      <c r="N68" s="6"/>
      <c r="O68" s="6"/>
      <c r="P68" s="6"/>
      <c r="Q68" s="6"/>
      <c r="R68" s="6"/>
      <c r="S68" s="6"/>
      <c r="T68" s="6"/>
      <c r="U68" s="6"/>
      <c r="V68" s="6"/>
      <c r="W68" s="6"/>
      <c r="X68" s="6"/>
      <c r="Y68" s="6"/>
      <c r="Z68" s="6"/>
    </row>
    <row r="69" ht="33.75" customHeight="1">
      <c r="A69" s="379">
        <v>171.0</v>
      </c>
      <c r="B69" s="380" t="s">
        <v>584</v>
      </c>
      <c r="C69" s="380" t="s">
        <v>585</v>
      </c>
      <c r="D69" s="381">
        <v>0.0</v>
      </c>
      <c r="E69" s="380" t="s">
        <v>814</v>
      </c>
      <c r="F69" s="382">
        <v>0.0</v>
      </c>
      <c r="G69" s="380" t="s">
        <v>1030</v>
      </c>
      <c r="H69" s="380" t="s">
        <v>1031</v>
      </c>
      <c r="I69" s="382">
        <v>0.0</v>
      </c>
      <c r="J69" s="382">
        <v>0.0</v>
      </c>
      <c r="K69" s="382">
        <v>0.0</v>
      </c>
      <c r="L69" s="215"/>
      <c r="M69" s="6"/>
      <c r="N69" s="6"/>
      <c r="O69" s="6"/>
      <c r="P69" s="6"/>
      <c r="Q69" s="6"/>
      <c r="R69" s="6"/>
      <c r="S69" s="6"/>
      <c r="T69" s="6"/>
      <c r="U69" s="6"/>
      <c r="V69" s="6"/>
      <c r="W69" s="6"/>
      <c r="X69" s="6"/>
      <c r="Y69" s="6"/>
      <c r="Z69" s="6"/>
    </row>
    <row r="70" ht="33.75" customHeight="1">
      <c r="A70" s="379">
        <v>173.0</v>
      </c>
      <c r="B70" s="380" t="s">
        <v>590</v>
      </c>
      <c r="C70" s="380" t="s">
        <v>591</v>
      </c>
      <c r="D70" s="381">
        <v>0.0</v>
      </c>
      <c r="E70" s="380" t="s">
        <v>809</v>
      </c>
      <c r="F70" s="382">
        <v>0.0</v>
      </c>
      <c r="G70" s="380" t="s">
        <v>1025</v>
      </c>
      <c r="H70" s="380" t="s">
        <v>1035</v>
      </c>
      <c r="I70" s="380" t="s">
        <v>1036</v>
      </c>
      <c r="J70" s="380" t="s">
        <v>1037</v>
      </c>
      <c r="K70" s="380" t="s">
        <v>1038</v>
      </c>
      <c r="L70" s="215"/>
      <c r="M70" s="6"/>
      <c r="N70" s="6"/>
      <c r="O70" s="6"/>
      <c r="P70" s="6"/>
      <c r="Q70" s="6"/>
      <c r="R70" s="6"/>
      <c r="S70" s="6"/>
      <c r="T70" s="6"/>
      <c r="U70" s="6"/>
      <c r="V70" s="6"/>
      <c r="W70" s="6"/>
      <c r="X70" s="6"/>
      <c r="Y70" s="6"/>
      <c r="Z70" s="6"/>
    </row>
    <row r="71" ht="22.5" customHeight="1">
      <c r="A71" s="379">
        <v>178.0</v>
      </c>
      <c r="B71" s="380" t="s">
        <v>602</v>
      </c>
      <c r="C71" s="380" t="s">
        <v>603</v>
      </c>
      <c r="D71" s="381">
        <v>0.0</v>
      </c>
      <c r="E71" s="380" t="s">
        <v>1051</v>
      </c>
      <c r="F71" s="382">
        <v>0.0</v>
      </c>
      <c r="G71" s="380" t="s">
        <v>935</v>
      </c>
      <c r="H71" s="380" t="s">
        <v>1052</v>
      </c>
      <c r="I71" s="382">
        <v>0.0</v>
      </c>
      <c r="J71" s="380" t="s">
        <v>1053</v>
      </c>
      <c r="K71" s="380" t="s">
        <v>1054</v>
      </c>
      <c r="L71" s="215"/>
      <c r="M71" s="6"/>
      <c r="N71" s="6"/>
      <c r="O71" s="6"/>
      <c r="P71" s="6"/>
      <c r="Q71" s="6"/>
      <c r="R71" s="6"/>
      <c r="S71" s="6"/>
      <c r="T71" s="6"/>
      <c r="U71" s="6"/>
      <c r="V71" s="6"/>
      <c r="W71" s="6"/>
      <c r="X71" s="6"/>
      <c r="Y71" s="6"/>
      <c r="Z71" s="6"/>
    </row>
    <row r="72" ht="22.5" customHeight="1">
      <c r="A72" s="379">
        <v>180.0</v>
      </c>
      <c r="B72" s="380" t="s">
        <v>607</v>
      </c>
      <c r="C72" s="380" t="s">
        <v>608</v>
      </c>
      <c r="D72" s="381">
        <v>0.0</v>
      </c>
      <c r="E72" s="380" t="s">
        <v>1056</v>
      </c>
      <c r="F72" s="382">
        <v>0.0</v>
      </c>
      <c r="G72" s="380" t="s">
        <v>832</v>
      </c>
      <c r="H72" s="382">
        <v>0.0</v>
      </c>
      <c r="I72" s="382">
        <v>0.0</v>
      </c>
      <c r="J72" s="380" t="s">
        <v>1053</v>
      </c>
      <c r="K72" s="380" t="s">
        <v>1057</v>
      </c>
      <c r="L72" s="215"/>
      <c r="M72" s="6"/>
      <c r="N72" s="6"/>
      <c r="O72" s="6"/>
      <c r="P72" s="6"/>
      <c r="Q72" s="6"/>
      <c r="R72" s="6"/>
      <c r="S72" s="6"/>
      <c r="T72" s="6"/>
      <c r="U72" s="6"/>
      <c r="V72" s="6"/>
      <c r="W72" s="6"/>
      <c r="X72" s="6"/>
      <c r="Y72" s="6"/>
      <c r="Z72" s="6"/>
    </row>
    <row r="73" ht="33.75" customHeight="1">
      <c r="A73" s="379">
        <v>182.0</v>
      </c>
      <c r="B73" s="380" t="s">
        <v>611</v>
      </c>
      <c r="C73" s="380" t="s">
        <v>612</v>
      </c>
      <c r="D73" s="381">
        <v>0.0</v>
      </c>
      <c r="E73" s="380" t="s">
        <v>1051</v>
      </c>
      <c r="F73" s="382">
        <v>0.0</v>
      </c>
      <c r="G73" s="380" t="s">
        <v>1058</v>
      </c>
      <c r="H73" s="380" t="s">
        <v>1059</v>
      </c>
      <c r="I73" s="382">
        <v>0.0</v>
      </c>
      <c r="J73" s="380" t="s">
        <v>1053</v>
      </c>
      <c r="K73" s="380" t="s">
        <v>1060</v>
      </c>
      <c r="L73" s="215"/>
      <c r="M73" s="6"/>
      <c r="N73" s="6"/>
      <c r="O73" s="6"/>
      <c r="P73" s="6"/>
      <c r="Q73" s="6"/>
      <c r="R73" s="6"/>
      <c r="S73" s="6"/>
      <c r="T73" s="6"/>
      <c r="U73" s="6"/>
      <c r="V73" s="6"/>
      <c r="W73" s="6"/>
      <c r="X73" s="6"/>
      <c r="Y73" s="6"/>
      <c r="Z73" s="6"/>
    </row>
    <row r="74" ht="22.5" customHeight="1">
      <c r="A74" s="379">
        <v>186.0</v>
      </c>
      <c r="B74" s="380" t="s">
        <v>623</v>
      </c>
      <c r="C74" s="380" t="s">
        <v>624</v>
      </c>
      <c r="D74" s="381">
        <v>0.0</v>
      </c>
      <c r="E74" s="380" t="s">
        <v>1009</v>
      </c>
      <c r="F74" s="382">
        <v>0.0</v>
      </c>
      <c r="G74" s="380" t="s">
        <v>1068</v>
      </c>
      <c r="H74" s="380" t="s">
        <v>819</v>
      </c>
      <c r="I74" s="380" t="s">
        <v>1069</v>
      </c>
      <c r="J74" s="380" t="s">
        <v>1070</v>
      </c>
      <c r="K74" s="380" t="s">
        <v>1071</v>
      </c>
      <c r="L74" s="215"/>
      <c r="M74" s="6"/>
      <c r="N74" s="6"/>
      <c r="O74" s="6"/>
      <c r="P74" s="6"/>
      <c r="Q74" s="6"/>
      <c r="R74" s="6"/>
      <c r="S74" s="6"/>
      <c r="T74" s="6"/>
      <c r="U74" s="6"/>
      <c r="V74" s="6"/>
      <c r="W74" s="6"/>
      <c r="X74" s="6"/>
      <c r="Y74" s="6"/>
      <c r="Z74" s="6"/>
    </row>
    <row r="75" ht="33.75" customHeight="1">
      <c r="A75" s="379">
        <v>187.0</v>
      </c>
      <c r="B75" s="380" t="s">
        <v>626</v>
      </c>
      <c r="C75" s="380" t="s">
        <v>627</v>
      </c>
      <c r="D75" s="381">
        <v>0.0</v>
      </c>
      <c r="E75" s="380" t="s">
        <v>1009</v>
      </c>
      <c r="F75" s="382">
        <v>0.0</v>
      </c>
      <c r="G75" s="380" t="s">
        <v>811</v>
      </c>
      <c r="H75" s="380" t="s">
        <v>812</v>
      </c>
      <c r="I75" s="380" t="s">
        <v>1072</v>
      </c>
      <c r="J75" s="380" t="s">
        <v>1073</v>
      </c>
      <c r="K75" s="382">
        <v>12.8</v>
      </c>
      <c r="L75" s="215"/>
      <c r="M75" s="6"/>
      <c r="N75" s="6"/>
      <c r="O75" s="6"/>
      <c r="P75" s="6"/>
      <c r="Q75" s="6"/>
      <c r="R75" s="6"/>
      <c r="S75" s="6"/>
      <c r="T75" s="6"/>
      <c r="U75" s="6"/>
      <c r="V75" s="6"/>
      <c r="W75" s="6"/>
      <c r="X75" s="6"/>
      <c r="Y75" s="6"/>
      <c r="Z75" s="6"/>
    </row>
    <row r="76" ht="22.5" customHeight="1">
      <c r="A76" s="379">
        <v>192.0</v>
      </c>
      <c r="B76" s="380" t="s">
        <v>636</v>
      </c>
      <c r="C76" s="380" t="s">
        <v>637</v>
      </c>
      <c r="D76" s="381">
        <v>0.0</v>
      </c>
      <c r="E76" s="380" t="s">
        <v>1079</v>
      </c>
      <c r="F76" s="380" t="s">
        <v>829</v>
      </c>
      <c r="G76" s="380" t="s">
        <v>1046</v>
      </c>
      <c r="H76" s="380" t="s">
        <v>812</v>
      </c>
      <c r="I76" s="382">
        <v>0.0</v>
      </c>
      <c r="J76" s="380" t="s">
        <v>1053</v>
      </c>
      <c r="K76" s="380" t="s">
        <v>1082</v>
      </c>
      <c r="L76" s="215"/>
      <c r="M76" s="6"/>
      <c r="N76" s="6"/>
      <c r="O76" s="6"/>
      <c r="P76" s="6"/>
      <c r="Q76" s="6"/>
      <c r="R76" s="6"/>
      <c r="S76" s="6"/>
      <c r="T76" s="6"/>
      <c r="U76" s="6"/>
      <c r="V76" s="6"/>
      <c r="W76" s="6"/>
      <c r="X76" s="6"/>
      <c r="Y76" s="6"/>
      <c r="Z76" s="6"/>
    </row>
    <row r="77" ht="22.5" customHeight="1">
      <c r="A77" s="379">
        <v>193.0</v>
      </c>
      <c r="B77" s="380" t="s">
        <v>639</v>
      </c>
      <c r="C77" s="380" t="s">
        <v>640</v>
      </c>
      <c r="D77" s="381">
        <v>0.0</v>
      </c>
      <c r="E77" s="380" t="s">
        <v>1079</v>
      </c>
      <c r="F77" s="380" t="s">
        <v>1083</v>
      </c>
      <c r="G77" s="380" t="s">
        <v>1084</v>
      </c>
      <c r="H77" s="380" t="s">
        <v>1085</v>
      </c>
      <c r="I77" s="380" t="s">
        <v>1086</v>
      </c>
      <c r="J77" s="380" t="s">
        <v>1087</v>
      </c>
      <c r="K77" s="382">
        <v>12.6</v>
      </c>
      <c r="L77" s="215"/>
      <c r="M77" s="6"/>
      <c r="N77" s="6"/>
      <c r="O77" s="6"/>
      <c r="P77" s="6"/>
      <c r="Q77" s="6"/>
      <c r="R77" s="6"/>
      <c r="S77" s="6"/>
      <c r="T77" s="6"/>
      <c r="U77" s="6"/>
      <c r="V77" s="6"/>
      <c r="W77" s="6"/>
      <c r="X77" s="6"/>
      <c r="Y77" s="6"/>
      <c r="Z77" s="6"/>
    </row>
    <row r="78" ht="33.75" customHeight="1">
      <c r="A78" s="379">
        <v>204.0</v>
      </c>
      <c r="B78" s="380" t="s">
        <v>672</v>
      </c>
      <c r="C78" s="380" t="s">
        <v>673</v>
      </c>
      <c r="D78" s="381">
        <v>0.0</v>
      </c>
      <c r="E78" s="380" t="s">
        <v>860</v>
      </c>
      <c r="F78" s="382">
        <v>0.0</v>
      </c>
      <c r="G78" s="380" t="s">
        <v>1006</v>
      </c>
      <c r="H78" s="380" t="s">
        <v>1095</v>
      </c>
      <c r="I78" s="380" t="s">
        <v>997</v>
      </c>
      <c r="J78" s="380" t="s">
        <v>842</v>
      </c>
      <c r="K78" s="382">
        <v>0.0</v>
      </c>
      <c r="L78" s="215"/>
      <c r="M78" s="6"/>
      <c r="N78" s="6"/>
      <c r="O78" s="6"/>
      <c r="P78" s="6"/>
      <c r="Q78" s="6"/>
      <c r="R78" s="6"/>
      <c r="S78" s="6"/>
      <c r="T78" s="6"/>
      <c r="U78" s="6"/>
      <c r="V78" s="6"/>
      <c r="W78" s="6"/>
      <c r="X78" s="6"/>
      <c r="Y78" s="6"/>
      <c r="Z78" s="6"/>
    </row>
    <row r="79" ht="22.5" customHeight="1">
      <c r="A79" s="379">
        <v>208.0</v>
      </c>
      <c r="B79" s="380" t="s">
        <v>684</v>
      </c>
      <c r="C79" s="380" t="s">
        <v>3145</v>
      </c>
      <c r="D79" s="381">
        <v>0.0</v>
      </c>
      <c r="E79" s="380" t="s">
        <v>1051</v>
      </c>
      <c r="F79" s="382">
        <v>0.0</v>
      </c>
      <c r="G79" s="380" t="s">
        <v>935</v>
      </c>
      <c r="H79" s="380" t="s">
        <v>1104</v>
      </c>
      <c r="I79" s="380" t="s">
        <v>1105</v>
      </c>
      <c r="J79" s="380" t="s">
        <v>1106</v>
      </c>
      <c r="K79" s="382">
        <v>11.2</v>
      </c>
      <c r="L79" s="215"/>
      <c r="M79" s="6"/>
      <c r="N79" s="6"/>
      <c r="O79" s="6"/>
      <c r="P79" s="6"/>
      <c r="Q79" s="6"/>
      <c r="R79" s="6"/>
      <c r="S79" s="6"/>
      <c r="T79" s="6"/>
      <c r="U79" s="6"/>
      <c r="V79" s="6"/>
      <c r="W79" s="6"/>
      <c r="X79" s="6"/>
      <c r="Y79" s="6"/>
      <c r="Z79" s="6"/>
    </row>
    <row r="80" ht="22.5" customHeight="1">
      <c r="A80" s="379">
        <v>211.0</v>
      </c>
      <c r="B80" s="380" t="s">
        <v>693</v>
      </c>
      <c r="C80" s="380" t="s">
        <v>3146</v>
      </c>
      <c r="D80" s="381">
        <v>0.0</v>
      </c>
      <c r="E80" s="380" t="s">
        <v>1051</v>
      </c>
      <c r="F80" s="382">
        <v>0.0</v>
      </c>
      <c r="G80" s="382">
        <v>0.0</v>
      </c>
      <c r="H80" s="380" t="s">
        <v>1104</v>
      </c>
      <c r="I80" s="380" t="s">
        <v>1105</v>
      </c>
      <c r="J80" s="380" t="s">
        <v>1106</v>
      </c>
      <c r="K80" s="382">
        <v>11.2</v>
      </c>
      <c r="L80" s="215"/>
      <c r="M80" s="6"/>
      <c r="N80" s="6"/>
      <c r="O80" s="6"/>
      <c r="P80" s="6"/>
      <c r="Q80" s="6"/>
      <c r="R80" s="6"/>
      <c r="S80" s="6"/>
      <c r="T80" s="6"/>
      <c r="U80" s="6"/>
      <c r="V80" s="6"/>
      <c r="W80" s="6"/>
      <c r="X80" s="6"/>
      <c r="Y80" s="6"/>
      <c r="Z80" s="6"/>
    </row>
    <row r="81" ht="33.75" customHeight="1">
      <c r="A81" s="379">
        <v>212.0</v>
      </c>
      <c r="B81" s="380" t="s">
        <v>696</v>
      </c>
      <c r="C81" s="380" t="s">
        <v>697</v>
      </c>
      <c r="D81" s="381">
        <v>0.0</v>
      </c>
      <c r="E81" s="380" t="s">
        <v>1051</v>
      </c>
      <c r="F81" s="382">
        <v>0.0</v>
      </c>
      <c r="G81" s="382">
        <v>0.0</v>
      </c>
      <c r="H81" s="380" t="s">
        <v>1104</v>
      </c>
      <c r="I81" s="382">
        <v>0.0</v>
      </c>
      <c r="J81" s="380" t="s">
        <v>1106</v>
      </c>
      <c r="K81" s="382">
        <v>11.2</v>
      </c>
      <c r="L81" s="215"/>
      <c r="M81" s="6"/>
      <c r="N81" s="6"/>
      <c r="O81" s="6"/>
      <c r="P81" s="6"/>
      <c r="Q81" s="6"/>
      <c r="R81" s="6"/>
      <c r="S81" s="6"/>
      <c r="T81" s="6"/>
      <c r="U81" s="6"/>
      <c r="V81" s="6"/>
      <c r="W81" s="6"/>
      <c r="X81" s="6"/>
      <c r="Y81" s="6"/>
      <c r="Z81" s="6"/>
    </row>
    <row r="82" ht="56.25" customHeight="1">
      <c r="A82" s="379">
        <v>216.0</v>
      </c>
      <c r="B82" s="380" t="s">
        <v>710</v>
      </c>
      <c r="C82" s="380" t="s">
        <v>711</v>
      </c>
      <c r="D82" s="381">
        <v>0.0</v>
      </c>
      <c r="E82" s="380" t="s">
        <v>1111</v>
      </c>
      <c r="F82" s="382">
        <v>0.0</v>
      </c>
      <c r="G82" s="380" t="s">
        <v>1112</v>
      </c>
      <c r="H82" s="380" t="s">
        <v>1104</v>
      </c>
      <c r="I82" s="380" t="s">
        <v>1105</v>
      </c>
      <c r="J82" s="380" t="s">
        <v>1106</v>
      </c>
      <c r="K82" s="380" t="s">
        <v>1113</v>
      </c>
      <c r="L82" s="215"/>
      <c r="M82" s="6"/>
      <c r="N82" s="6"/>
      <c r="O82" s="6"/>
      <c r="P82" s="6"/>
      <c r="Q82" s="6"/>
      <c r="R82" s="6"/>
      <c r="S82" s="6"/>
      <c r="T82" s="6"/>
      <c r="U82" s="6"/>
      <c r="V82" s="6"/>
      <c r="W82" s="6"/>
      <c r="X82" s="6"/>
      <c r="Y82" s="6"/>
      <c r="Z82" s="6"/>
    </row>
    <row r="83" ht="33.75" customHeight="1">
      <c r="A83" s="379">
        <v>219.0</v>
      </c>
      <c r="B83" s="380" t="s">
        <v>718</v>
      </c>
      <c r="C83" s="380" t="s">
        <v>719</v>
      </c>
      <c r="D83" s="381">
        <v>0.0</v>
      </c>
      <c r="E83" s="380" t="s">
        <v>1079</v>
      </c>
      <c r="F83" s="380" t="s">
        <v>1118</v>
      </c>
      <c r="G83" s="380" t="s">
        <v>811</v>
      </c>
      <c r="H83" s="380" t="s">
        <v>812</v>
      </c>
      <c r="I83" s="382">
        <v>0.0</v>
      </c>
      <c r="J83" s="382">
        <v>0.0</v>
      </c>
      <c r="K83" s="382">
        <v>0.0</v>
      </c>
      <c r="L83" s="215"/>
      <c r="M83" s="6"/>
      <c r="N83" s="6"/>
      <c r="O83" s="6"/>
      <c r="P83" s="6"/>
      <c r="Q83" s="6"/>
      <c r="R83" s="6"/>
      <c r="S83" s="6"/>
      <c r="T83" s="6"/>
      <c r="U83" s="6"/>
      <c r="V83" s="6"/>
      <c r="W83" s="6"/>
      <c r="X83" s="6"/>
      <c r="Y83" s="6"/>
      <c r="Z83" s="6"/>
    </row>
    <row r="84" ht="45.0" customHeight="1">
      <c r="A84" s="379">
        <v>220.0</v>
      </c>
      <c r="B84" s="380" t="s">
        <v>720</v>
      </c>
      <c r="C84" s="380" t="s">
        <v>721</v>
      </c>
      <c r="D84" s="381">
        <v>0.0</v>
      </c>
      <c r="E84" s="380" t="s">
        <v>809</v>
      </c>
      <c r="F84" s="382">
        <v>0.0</v>
      </c>
      <c r="G84" s="380" t="s">
        <v>811</v>
      </c>
      <c r="H84" s="380" t="s">
        <v>812</v>
      </c>
      <c r="I84" s="382">
        <v>0.0</v>
      </c>
      <c r="J84" s="382">
        <v>0.0</v>
      </c>
      <c r="K84" s="382">
        <v>0.0</v>
      </c>
      <c r="L84" s="215"/>
      <c r="M84" s="6"/>
      <c r="N84" s="6"/>
      <c r="O84" s="6"/>
      <c r="P84" s="6"/>
      <c r="Q84" s="6"/>
      <c r="R84" s="6"/>
      <c r="S84" s="6"/>
      <c r="T84" s="6"/>
      <c r="U84" s="6"/>
      <c r="V84" s="6"/>
      <c r="W84" s="6"/>
      <c r="X84" s="6"/>
      <c r="Y84" s="6"/>
      <c r="Z84" s="6"/>
    </row>
    <row r="85" ht="33.75" customHeight="1">
      <c r="A85" s="379">
        <v>222.0</v>
      </c>
      <c r="B85" s="380" t="s">
        <v>724</v>
      </c>
      <c r="C85" s="380" t="s">
        <v>725</v>
      </c>
      <c r="D85" s="381">
        <v>0.0</v>
      </c>
      <c r="E85" s="380" t="s">
        <v>1009</v>
      </c>
      <c r="F85" s="380" t="s">
        <v>1124</v>
      </c>
      <c r="G85" s="380" t="s">
        <v>1125</v>
      </c>
      <c r="H85" s="380" t="s">
        <v>812</v>
      </c>
      <c r="I85" s="380" t="s">
        <v>1126</v>
      </c>
      <c r="J85" s="380" t="s">
        <v>1127</v>
      </c>
      <c r="K85" s="382">
        <v>12.8</v>
      </c>
      <c r="L85" s="215"/>
      <c r="M85" s="6"/>
      <c r="N85" s="6"/>
      <c r="O85" s="6"/>
      <c r="P85" s="6"/>
      <c r="Q85" s="6"/>
      <c r="R85" s="6"/>
      <c r="S85" s="6"/>
      <c r="T85" s="6"/>
      <c r="U85" s="6"/>
      <c r="V85" s="6"/>
      <c r="W85" s="6"/>
      <c r="X85" s="6"/>
      <c r="Y85" s="6"/>
      <c r="Z85" s="6"/>
    </row>
    <row r="86" ht="22.5" customHeight="1">
      <c r="A86" s="379">
        <v>223.0</v>
      </c>
      <c r="B86" s="380" t="s">
        <v>726</v>
      </c>
      <c r="C86" s="380" t="s">
        <v>727</v>
      </c>
      <c r="D86" s="381">
        <v>0.0</v>
      </c>
      <c r="E86" s="380" t="s">
        <v>809</v>
      </c>
      <c r="F86" s="380" t="s">
        <v>829</v>
      </c>
      <c r="G86" s="382">
        <v>0.0</v>
      </c>
      <c r="H86" s="380" t="s">
        <v>812</v>
      </c>
      <c r="I86" s="382">
        <v>0.0</v>
      </c>
      <c r="J86" s="382">
        <v>0.0</v>
      </c>
      <c r="K86" s="382">
        <v>12.2</v>
      </c>
      <c r="L86" s="215"/>
      <c r="M86" s="6"/>
      <c r="N86" s="6"/>
      <c r="O86" s="6"/>
      <c r="P86" s="6"/>
      <c r="Q86" s="6"/>
      <c r="R86" s="6"/>
      <c r="S86" s="6"/>
      <c r="T86" s="6"/>
      <c r="U86" s="6"/>
      <c r="V86" s="6"/>
      <c r="W86" s="6"/>
      <c r="X86" s="6"/>
      <c r="Y86" s="6"/>
      <c r="Z86" s="6"/>
    </row>
    <row r="87" ht="45.0" customHeight="1">
      <c r="A87" s="379">
        <v>230.0</v>
      </c>
      <c r="B87" s="380" t="s">
        <v>740</v>
      </c>
      <c r="C87" s="380" t="s">
        <v>741</v>
      </c>
      <c r="D87" s="381">
        <v>0.0</v>
      </c>
      <c r="E87" s="380" t="s">
        <v>882</v>
      </c>
      <c r="F87" s="380" t="s">
        <v>1137</v>
      </c>
      <c r="G87" s="380" t="s">
        <v>898</v>
      </c>
      <c r="H87" s="380" t="s">
        <v>812</v>
      </c>
      <c r="I87" s="380" t="s">
        <v>895</v>
      </c>
      <c r="J87" s="380" t="s">
        <v>889</v>
      </c>
      <c r="K87" s="380" t="s">
        <v>887</v>
      </c>
      <c r="L87" s="215"/>
      <c r="M87" s="6"/>
      <c r="N87" s="6"/>
      <c r="O87" s="6"/>
      <c r="P87" s="6"/>
      <c r="Q87" s="6"/>
      <c r="R87" s="6"/>
      <c r="S87" s="6"/>
      <c r="T87" s="6"/>
      <c r="U87" s="6"/>
      <c r="V87" s="6"/>
      <c r="W87" s="6"/>
      <c r="X87" s="6"/>
      <c r="Y87" s="6"/>
      <c r="Z87" s="6"/>
    </row>
    <row r="88" ht="33.75" customHeight="1">
      <c r="A88" s="379">
        <v>250.0</v>
      </c>
      <c r="B88" s="380" t="s">
        <v>781</v>
      </c>
      <c r="C88" s="380" t="s">
        <v>782</v>
      </c>
      <c r="D88" s="381">
        <v>0.0</v>
      </c>
      <c r="E88" s="380" t="s">
        <v>817</v>
      </c>
      <c r="F88" s="382">
        <v>0.0</v>
      </c>
      <c r="G88" s="380" t="s">
        <v>811</v>
      </c>
      <c r="H88" s="380" t="s">
        <v>812</v>
      </c>
      <c r="I88" s="382">
        <v>0.0</v>
      </c>
      <c r="J88" s="382">
        <v>0.0</v>
      </c>
      <c r="K88" s="382">
        <v>12.8</v>
      </c>
      <c r="L88" s="215"/>
      <c r="M88" s="6"/>
      <c r="N88" s="6"/>
      <c r="O88" s="6"/>
      <c r="P88" s="6"/>
      <c r="Q88" s="6"/>
      <c r="R88" s="6"/>
      <c r="S88" s="6"/>
      <c r="T88" s="6"/>
      <c r="U88" s="6"/>
      <c r="V88" s="6"/>
      <c r="W88" s="6"/>
      <c r="X88" s="6"/>
      <c r="Y88" s="6"/>
      <c r="Z88" s="6"/>
    </row>
    <row r="89" ht="22.5" customHeight="1">
      <c r="A89" s="379">
        <v>253.0</v>
      </c>
      <c r="B89" s="380" t="s">
        <v>787</v>
      </c>
      <c r="C89" s="380" t="s">
        <v>788</v>
      </c>
      <c r="D89" s="381">
        <v>0.0</v>
      </c>
      <c r="E89" s="382">
        <v>0.0</v>
      </c>
      <c r="F89" s="382">
        <v>0.0</v>
      </c>
      <c r="G89" s="382">
        <v>0.0</v>
      </c>
      <c r="H89" s="380" t="s">
        <v>812</v>
      </c>
      <c r="I89" s="382">
        <v>0.0</v>
      </c>
      <c r="J89" s="382">
        <v>0.0</v>
      </c>
      <c r="K89" s="382">
        <v>12.8</v>
      </c>
      <c r="L89" s="215"/>
      <c r="M89" s="6"/>
      <c r="N89" s="6"/>
      <c r="O89" s="6"/>
      <c r="P89" s="6"/>
      <c r="Q89" s="6"/>
      <c r="R89" s="6"/>
      <c r="S89" s="6"/>
      <c r="T89" s="6"/>
      <c r="U89" s="6"/>
      <c r="V89" s="6"/>
      <c r="W89" s="6"/>
      <c r="X89" s="6"/>
      <c r="Y89" s="6"/>
      <c r="Z89" s="6"/>
    </row>
    <row r="90" ht="22.5" customHeight="1">
      <c r="A90" s="379">
        <v>256.0</v>
      </c>
      <c r="B90" s="380" t="s">
        <v>793</v>
      </c>
      <c r="C90" s="380" t="s">
        <v>794</v>
      </c>
      <c r="D90" s="381">
        <v>0.0</v>
      </c>
      <c r="E90" s="380" t="s">
        <v>817</v>
      </c>
      <c r="F90" s="382">
        <v>0.0</v>
      </c>
      <c r="G90" s="382">
        <v>0.0</v>
      </c>
      <c r="H90" s="380" t="s">
        <v>812</v>
      </c>
      <c r="I90" s="382">
        <v>0.0</v>
      </c>
      <c r="J90" s="382">
        <v>0.0</v>
      </c>
      <c r="K90" s="382">
        <v>12.8</v>
      </c>
      <c r="L90" s="215"/>
      <c r="M90" s="6"/>
      <c r="N90" s="6"/>
      <c r="O90" s="6"/>
      <c r="P90" s="6"/>
      <c r="Q90" s="6"/>
      <c r="R90" s="6"/>
      <c r="S90" s="6"/>
      <c r="T90" s="6"/>
      <c r="U90" s="6"/>
      <c r="V90" s="6"/>
      <c r="W90" s="6"/>
      <c r="X90" s="6"/>
      <c r="Y90" s="6"/>
      <c r="Z90" s="6"/>
    </row>
    <row r="91" ht="22.5" customHeight="1">
      <c r="A91" s="379">
        <v>263.0</v>
      </c>
      <c r="B91" s="380" t="s">
        <v>127</v>
      </c>
      <c r="C91" s="380" t="s">
        <v>128</v>
      </c>
      <c r="D91" s="381">
        <v>0.0</v>
      </c>
      <c r="E91" s="382">
        <v>0.0</v>
      </c>
      <c r="F91" s="382">
        <v>0.0</v>
      </c>
      <c r="G91" s="382">
        <v>0.0</v>
      </c>
      <c r="H91" s="382">
        <v>0.0</v>
      </c>
      <c r="I91" s="382">
        <v>0.0</v>
      </c>
      <c r="J91" s="382">
        <v>0.0</v>
      </c>
      <c r="K91" s="382">
        <v>0.0</v>
      </c>
      <c r="L91" s="215"/>
      <c r="M91" s="6"/>
      <c r="N91" s="6"/>
      <c r="O91" s="6"/>
      <c r="P91" s="6"/>
      <c r="Q91" s="6"/>
      <c r="R91" s="6"/>
      <c r="S91" s="6"/>
      <c r="T91" s="6"/>
      <c r="U91" s="6"/>
      <c r="V91" s="6"/>
      <c r="W91" s="6"/>
      <c r="X91" s="6"/>
      <c r="Y91" s="6"/>
      <c r="Z91" s="6"/>
    </row>
    <row r="92" ht="22.5" customHeight="1">
      <c r="A92" s="379">
        <v>264.0</v>
      </c>
      <c r="B92" s="380" t="s">
        <v>129</v>
      </c>
      <c r="C92" s="380" t="s">
        <v>130</v>
      </c>
      <c r="D92" s="381">
        <v>0.0</v>
      </c>
      <c r="E92" s="382">
        <v>0.0</v>
      </c>
      <c r="F92" s="382">
        <v>0.0</v>
      </c>
      <c r="G92" s="380" t="s">
        <v>825</v>
      </c>
      <c r="H92" s="382">
        <v>0.0</v>
      </c>
      <c r="I92" s="382">
        <v>0.0</v>
      </c>
      <c r="J92" s="382">
        <v>0.0</v>
      </c>
      <c r="K92" s="380" t="s">
        <v>831</v>
      </c>
      <c r="L92" s="215"/>
      <c r="M92" s="6"/>
      <c r="N92" s="6"/>
      <c r="O92" s="6"/>
      <c r="P92" s="6"/>
      <c r="Q92" s="6"/>
      <c r="R92" s="6"/>
      <c r="S92" s="6"/>
      <c r="T92" s="6"/>
      <c r="U92" s="6"/>
      <c r="V92" s="6"/>
      <c r="W92" s="6"/>
      <c r="X92" s="6"/>
      <c r="Y92" s="6"/>
      <c r="Z92" s="6"/>
    </row>
    <row r="93" ht="45.0" customHeight="1">
      <c r="A93" s="379">
        <v>266.0</v>
      </c>
      <c r="B93" s="380" t="s">
        <v>135</v>
      </c>
      <c r="C93" s="380" t="s">
        <v>136</v>
      </c>
      <c r="D93" s="381">
        <v>0.0</v>
      </c>
      <c r="E93" s="382">
        <v>0.0</v>
      </c>
      <c r="F93" s="382">
        <v>0.0</v>
      </c>
      <c r="G93" s="380" t="s">
        <v>825</v>
      </c>
      <c r="H93" s="382">
        <v>0.0</v>
      </c>
      <c r="I93" s="382">
        <v>0.0</v>
      </c>
      <c r="J93" s="382">
        <v>0.0</v>
      </c>
      <c r="K93" s="382">
        <v>12.8</v>
      </c>
      <c r="L93" s="215"/>
      <c r="M93" s="6"/>
      <c r="N93" s="6"/>
      <c r="O93" s="6"/>
      <c r="P93" s="6"/>
      <c r="Q93" s="6"/>
      <c r="R93" s="6"/>
      <c r="S93" s="6"/>
      <c r="T93" s="6"/>
      <c r="U93" s="6"/>
      <c r="V93" s="6"/>
      <c r="W93" s="6"/>
      <c r="X93" s="6"/>
      <c r="Y93" s="6"/>
      <c r="Z93" s="6"/>
    </row>
    <row r="94" ht="15.0" customHeight="1">
      <c r="A94" s="228"/>
      <c r="B94" s="228"/>
      <c r="C94" s="228"/>
      <c r="D94" s="228"/>
      <c r="E94" s="228"/>
      <c r="F94" s="228"/>
      <c r="G94" s="228"/>
      <c r="H94" s="228"/>
      <c r="I94" s="228"/>
      <c r="J94" s="228"/>
      <c r="K94" s="228"/>
      <c r="L94" s="181"/>
      <c r="M94" s="6"/>
      <c r="N94" s="6"/>
      <c r="O94" s="6"/>
      <c r="P94" s="6"/>
      <c r="Q94" s="6"/>
      <c r="R94" s="6"/>
      <c r="S94" s="6"/>
      <c r="T94" s="6"/>
      <c r="U94" s="6"/>
      <c r="V94" s="6"/>
      <c r="W94" s="6"/>
      <c r="X94" s="6"/>
      <c r="Y94" s="6"/>
      <c r="Z94" s="6"/>
    </row>
    <row r="95" ht="15.0" customHeight="1">
      <c r="A95" s="181"/>
      <c r="B95" s="181"/>
      <c r="C95" s="181"/>
      <c r="D95" s="181"/>
      <c r="E95" s="181"/>
      <c r="F95" s="181"/>
      <c r="G95" s="181"/>
      <c r="H95" s="181"/>
      <c r="I95" s="181"/>
      <c r="J95" s="181"/>
      <c r="K95" s="181"/>
      <c r="L95" s="181"/>
      <c r="M95" s="6"/>
      <c r="N95" s="6"/>
      <c r="O95" s="6"/>
      <c r="P95" s="6"/>
      <c r="Q95" s="6"/>
      <c r="R95" s="6"/>
      <c r="S95" s="6"/>
      <c r="T95" s="6"/>
      <c r="U95" s="6"/>
      <c r="V95" s="6"/>
      <c r="W95" s="6"/>
      <c r="X95" s="6"/>
      <c r="Y95" s="6"/>
      <c r="Z95" s="6"/>
    </row>
    <row r="96" ht="15.0" customHeight="1">
      <c r="A96" s="181"/>
      <c r="B96" s="181"/>
      <c r="C96" s="181"/>
      <c r="D96" s="181"/>
      <c r="E96" s="181"/>
      <c r="F96" s="181"/>
      <c r="G96" s="181"/>
      <c r="H96" s="181"/>
      <c r="I96" s="181"/>
      <c r="J96" s="181"/>
      <c r="K96" s="181"/>
      <c r="L96" s="181"/>
      <c r="M96" s="6"/>
      <c r="N96" s="6"/>
      <c r="O96" s="6"/>
      <c r="P96" s="6"/>
      <c r="Q96" s="6"/>
      <c r="R96" s="6"/>
      <c r="S96" s="6"/>
      <c r="T96" s="6"/>
      <c r="U96" s="6"/>
      <c r="V96" s="6"/>
      <c r="W96" s="6"/>
      <c r="X96" s="6"/>
      <c r="Y96" s="6"/>
      <c r="Z96" s="6"/>
    </row>
    <row r="97" ht="15.0" customHeight="1">
      <c r="A97" s="181"/>
      <c r="B97" s="181"/>
      <c r="C97" s="181"/>
      <c r="D97" s="181"/>
      <c r="E97" s="181"/>
      <c r="F97" s="181"/>
      <c r="G97" s="181"/>
      <c r="H97" s="181"/>
      <c r="I97" s="181"/>
      <c r="J97" s="181"/>
      <c r="K97" s="181"/>
      <c r="L97" s="181"/>
      <c r="M97" s="6"/>
      <c r="N97" s="6"/>
      <c r="O97" s="6"/>
      <c r="P97" s="6"/>
      <c r="Q97" s="6"/>
      <c r="R97" s="6"/>
      <c r="S97" s="6"/>
      <c r="T97" s="6"/>
      <c r="U97" s="6"/>
      <c r="V97" s="6"/>
      <c r="W97" s="6"/>
      <c r="X97" s="6"/>
      <c r="Y97" s="6"/>
      <c r="Z97" s="6"/>
    </row>
    <row r="98" ht="15.0" customHeight="1">
      <c r="A98" s="181"/>
      <c r="B98" s="181"/>
      <c r="C98" s="181"/>
      <c r="D98" s="181"/>
      <c r="E98" s="181"/>
      <c r="F98" s="181"/>
      <c r="G98" s="181"/>
      <c r="H98" s="181"/>
      <c r="I98" s="181"/>
      <c r="J98" s="181"/>
      <c r="K98" s="181"/>
      <c r="L98" s="181"/>
      <c r="M98" s="6"/>
      <c r="N98" s="6"/>
      <c r="O98" s="6"/>
      <c r="P98" s="6"/>
      <c r="Q98" s="6"/>
      <c r="R98" s="6"/>
      <c r="S98" s="6"/>
      <c r="T98" s="6"/>
      <c r="U98" s="6"/>
      <c r="V98" s="6"/>
      <c r="W98" s="6"/>
      <c r="X98" s="6"/>
      <c r="Y98" s="6"/>
      <c r="Z98" s="6"/>
    </row>
    <row r="99" ht="15.0" customHeight="1">
      <c r="A99" s="181"/>
      <c r="B99" s="181"/>
      <c r="C99" s="181"/>
      <c r="D99" s="181"/>
      <c r="E99" s="181"/>
      <c r="F99" s="181"/>
      <c r="G99" s="181"/>
      <c r="H99" s="181"/>
      <c r="I99" s="181"/>
      <c r="J99" s="181"/>
      <c r="K99" s="181"/>
      <c r="L99" s="181"/>
      <c r="M99" s="6"/>
      <c r="N99" s="6"/>
      <c r="O99" s="6"/>
      <c r="P99" s="6"/>
      <c r="Q99" s="6"/>
      <c r="R99" s="6"/>
      <c r="S99" s="6"/>
      <c r="T99" s="6"/>
      <c r="U99" s="6"/>
      <c r="V99" s="6"/>
      <c r="W99" s="6"/>
      <c r="X99" s="6"/>
      <c r="Y99" s="6"/>
      <c r="Z99" s="6"/>
    </row>
    <row r="100" ht="15.0" customHeight="1">
      <c r="A100" s="181"/>
      <c r="B100" s="181"/>
      <c r="C100" s="181"/>
      <c r="D100" s="181"/>
      <c r="E100" s="181"/>
      <c r="F100" s="181"/>
      <c r="G100" s="181"/>
      <c r="H100" s="181"/>
      <c r="I100" s="181"/>
      <c r="J100" s="181"/>
      <c r="K100" s="181"/>
      <c r="L100" s="181"/>
      <c r="M100" s="6"/>
      <c r="N100" s="6"/>
      <c r="O100" s="6"/>
      <c r="P100" s="6"/>
      <c r="Q100" s="6"/>
      <c r="R100" s="6"/>
      <c r="S100" s="6"/>
      <c r="T100" s="6"/>
      <c r="U100" s="6"/>
      <c r="V100" s="6"/>
      <c r="W100" s="6"/>
      <c r="X100" s="6"/>
      <c r="Y100" s="6"/>
      <c r="Z100" s="6"/>
    </row>
    <row r="101" ht="15.0" customHeight="1">
      <c r="A101" s="181"/>
      <c r="B101" s="181"/>
      <c r="C101" s="181"/>
      <c r="D101" s="181"/>
      <c r="E101" s="181"/>
      <c r="F101" s="181"/>
      <c r="G101" s="181"/>
      <c r="H101" s="181"/>
      <c r="I101" s="181"/>
      <c r="J101" s="181"/>
      <c r="K101" s="181"/>
      <c r="L101" s="181"/>
      <c r="M101" s="6"/>
      <c r="N101" s="6"/>
      <c r="O101" s="6"/>
      <c r="P101" s="6"/>
      <c r="Q101" s="6"/>
      <c r="R101" s="6"/>
      <c r="S101" s="6"/>
      <c r="T101" s="6"/>
      <c r="U101" s="6"/>
      <c r="V101" s="6"/>
      <c r="W101" s="6"/>
      <c r="X101" s="6"/>
      <c r="Y101" s="6"/>
      <c r="Z101" s="6"/>
    </row>
    <row r="102" ht="15.0" customHeight="1">
      <c r="A102" s="181"/>
      <c r="B102" s="181"/>
      <c r="C102" s="181"/>
      <c r="D102" s="181"/>
      <c r="E102" s="181"/>
      <c r="F102" s="181"/>
      <c r="G102" s="181"/>
      <c r="H102" s="181"/>
      <c r="I102" s="181"/>
      <c r="J102" s="181"/>
      <c r="K102" s="181"/>
      <c r="L102" s="181"/>
      <c r="M102" s="6"/>
      <c r="N102" s="6"/>
      <c r="O102" s="6"/>
      <c r="P102" s="6"/>
      <c r="Q102" s="6"/>
      <c r="R102" s="6"/>
      <c r="S102" s="6"/>
      <c r="T102" s="6"/>
      <c r="U102" s="6"/>
      <c r="V102" s="6"/>
      <c r="W102" s="6"/>
      <c r="X102" s="6"/>
      <c r="Y102" s="6"/>
      <c r="Z102" s="6"/>
    </row>
    <row r="103" ht="15.0" customHeight="1">
      <c r="A103" s="181"/>
      <c r="B103" s="181"/>
      <c r="C103" s="181"/>
      <c r="D103" s="181"/>
      <c r="E103" s="181"/>
      <c r="F103" s="181"/>
      <c r="G103" s="181"/>
      <c r="H103" s="181"/>
      <c r="I103" s="181"/>
      <c r="J103" s="181"/>
      <c r="K103" s="181"/>
      <c r="L103" s="181"/>
      <c r="M103" s="6"/>
      <c r="N103" s="6"/>
      <c r="O103" s="6"/>
      <c r="P103" s="6"/>
      <c r="Q103" s="6"/>
      <c r="R103" s="6"/>
      <c r="S103" s="6"/>
      <c r="T103" s="6"/>
      <c r="U103" s="6"/>
      <c r="V103" s="6"/>
      <c r="W103" s="6"/>
      <c r="X103" s="6"/>
      <c r="Y103" s="6"/>
      <c r="Z103" s="6"/>
    </row>
    <row r="104" ht="15.0" customHeight="1">
      <c r="A104" s="181"/>
      <c r="B104" s="181"/>
      <c r="C104" s="181"/>
      <c r="D104" s="181"/>
      <c r="E104" s="181"/>
      <c r="F104" s="181"/>
      <c r="G104" s="181"/>
      <c r="H104" s="181"/>
      <c r="I104" s="181"/>
      <c r="J104" s="181"/>
      <c r="K104" s="181"/>
      <c r="L104" s="181"/>
      <c r="M104" s="6"/>
      <c r="N104" s="6"/>
      <c r="O104" s="6"/>
      <c r="P104" s="6"/>
      <c r="Q104" s="6"/>
      <c r="R104" s="6"/>
      <c r="S104" s="6"/>
      <c r="T104" s="6"/>
      <c r="U104" s="6"/>
      <c r="V104" s="6"/>
      <c r="W104" s="6"/>
      <c r="X104" s="6"/>
      <c r="Y104" s="6"/>
      <c r="Z104" s="6"/>
    </row>
    <row r="105" ht="15.0" customHeight="1">
      <c r="A105" s="181"/>
      <c r="B105" s="181"/>
      <c r="C105" s="181"/>
      <c r="D105" s="181"/>
      <c r="E105" s="181"/>
      <c r="F105" s="181"/>
      <c r="G105" s="181"/>
      <c r="H105" s="181"/>
      <c r="I105" s="181"/>
      <c r="J105" s="181"/>
      <c r="K105" s="181"/>
      <c r="L105" s="181"/>
      <c r="M105" s="6"/>
      <c r="N105" s="6"/>
      <c r="O105" s="6"/>
      <c r="P105" s="6"/>
      <c r="Q105" s="6"/>
      <c r="R105" s="6"/>
      <c r="S105" s="6"/>
      <c r="T105" s="6"/>
      <c r="U105" s="6"/>
      <c r="V105" s="6"/>
      <c r="W105" s="6"/>
      <c r="X105" s="6"/>
      <c r="Y105" s="6"/>
      <c r="Z105" s="6"/>
    </row>
    <row r="106" ht="15.0" customHeight="1">
      <c r="A106" s="181"/>
      <c r="B106" s="181"/>
      <c r="C106" s="181"/>
      <c r="D106" s="181"/>
      <c r="E106" s="181"/>
      <c r="F106" s="181"/>
      <c r="G106" s="181"/>
      <c r="H106" s="181"/>
      <c r="I106" s="181"/>
      <c r="J106" s="181"/>
      <c r="K106" s="181"/>
      <c r="L106" s="181"/>
      <c r="M106" s="6"/>
      <c r="N106" s="6"/>
      <c r="O106" s="6"/>
      <c r="P106" s="6"/>
      <c r="Q106" s="6"/>
      <c r="R106" s="6"/>
      <c r="S106" s="6"/>
      <c r="T106" s="6"/>
      <c r="U106" s="6"/>
      <c r="V106" s="6"/>
      <c r="W106" s="6"/>
      <c r="X106" s="6"/>
      <c r="Y106" s="6"/>
      <c r="Z106" s="6"/>
    </row>
    <row r="107" ht="15.0" customHeight="1">
      <c r="A107" s="181"/>
      <c r="B107" s="181"/>
      <c r="C107" s="181"/>
      <c r="D107" s="181"/>
      <c r="E107" s="181"/>
      <c r="F107" s="181"/>
      <c r="G107" s="181"/>
      <c r="H107" s="181"/>
      <c r="I107" s="181"/>
      <c r="J107" s="181"/>
      <c r="K107" s="181"/>
      <c r="L107" s="181"/>
      <c r="M107" s="6"/>
      <c r="N107" s="6"/>
      <c r="O107" s="6"/>
      <c r="P107" s="6"/>
      <c r="Q107" s="6"/>
      <c r="R107" s="6"/>
      <c r="S107" s="6"/>
      <c r="T107" s="6"/>
      <c r="U107" s="6"/>
      <c r="V107" s="6"/>
      <c r="W107" s="6"/>
      <c r="X107" s="6"/>
      <c r="Y107" s="6"/>
      <c r="Z107" s="6"/>
    </row>
    <row r="108" ht="15.0" customHeight="1">
      <c r="A108" s="181"/>
      <c r="B108" s="181"/>
      <c r="C108" s="181"/>
      <c r="D108" s="181"/>
      <c r="E108" s="181"/>
      <c r="F108" s="181"/>
      <c r="G108" s="181"/>
      <c r="H108" s="181"/>
      <c r="I108" s="181"/>
      <c r="J108" s="181"/>
      <c r="K108" s="181"/>
      <c r="L108" s="181"/>
      <c r="M108" s="6"/>
      <c r="N108" s="6"/>
      <c r="O108" s="6"/>
      <c r="P108" s="6"/>
      <c r="Q108" s="6"/>
      <c r="R108" s="6"/>
      <c r="S108" s="6"/>
      <c r="T108" s="6"/>
      <c r="U108" s="6"/>
      <c r="V108" s="6"/>
      <c r="W108" s="6"/>
      <c r="X108" s="6"/>
      <c r="Y108" s="6"/>
      <c r="Z108" s="6"/>
    </row>
    <row r="109" ht="15.0" customHeight="1">
      <c r="A109" s="181"/>
      <c r="B109" s="181"/>
      <c r="C109" s="181"/>
      <c r="D109" s="181"/>
      <c r="E109" s="181"/>
      <c r="F109" s="181"/>
      <c r="G109" s="181"/>
      <c r="H109" s="181"/>
      <c r="I109" s="181"/>
      <c r="J109" s="181"/>
      <c r="K109" s="181"/>
      <c r="L109" s="181"/>
      <c r="M109" s="6"/>
      <c r="N109" s="6"/>
      <c r="O109" s="6"/>
      <c r="P109" s="6"/>
      <c r="Q109" s="6"/>
      <c r="R109" s="6"/>
      <c r="S109" s="6"/>
      <c r="T109" s="6"/>
      <c r="U109" s="6"/>
      <c r="V109" s="6"/>
      <c r="W109" s="6"/>
      <c r="X109" s="6"/>
      <c r="Y109" s="6"/>
      <c r="Z109" s="6"/>
    </row>
    <row r="110" ht="15.0" customHeight="1">
      <c r="A110" s="181"/>
      <c r="B110" s="181"/>
      <c r="C110" s="181"/>
      <c r="D110" s="181"/>
      <c r="E110" s="181"/>
      <c r="F110" s="181"/>
      <c r="G110" s="181"/>
      <c r="H110" s="181"/>
      <c r="I110" s="181"/>
      <c r="J110" s="181"/>
      <c r="K110" s="181"/>
      <c r="L110" s="181"/>
      <c r="M110" s="6"/>
      <c r="N110" s="6"/>
      <c r="O110" s="6"/>
      <c r="P110" s="6"/>
      <c r="Q110" s="6"/>
      <c r="R110" s="6"/>
      <c r="S110" s="6"/>
      <c r="T110" s="6"/>
      <c r="U110" s="6"/>
      <c r="V110" s="6"/>
      <c r="W110" s="6"/>
      <c r="X110" s="6"/>
      <c r="Y110" s="6"/>
      <c r="Z110" s="6"/>
    </row>
    <row r="111" ht="15.0" customHeight="1">
      <c r="A111" s="181"/>
      <c r="B111" s="181"/>
      <c r="C111" s="181"/>
      <c r="D111" s="181"/>
      <c r="E111" s="181"/>
      <c r="F111" s="181"/>
      <c r="G111" s="181"/>
      <c r="H111" s="181"/>
      <c r="I111" s="181"/>
      <c r="J111" s="181"/>
      <c r="K111" s="181"/>
      <c r="L111" s="181"/>
      <c r="M111" s="6"/>
      <c r="N111" s="6"/>
      <c r="O111" s="6"/>
      <c r="P111" s="6"/>
      <c r="Q111" s="6"/>
      <c r="R111" s="6"/>
      <c r="S111" s="6"/>
      <c r="T111" s="6"/>
      <c r="U111" s="6"/>
      <c r="V111" s="6"/>
      <c r="W111" s="6"/>
      <c r="X111" s="6"/>
      <c r="Y111" s="6"/>
      <c r="Z111" s="6"/>
    </row>
    <row r="112" ht="15.0" customHeight="1">
      <c r="A112" s="181"/>
      <c r="B112" s="181"/>
      <c r="C112" s="181"/>
      <c r="D112" s="181"/>
      <c r="E112" s="181"/>
      <c r="F112" s="181"/>
      <c r="G112" s="181"/>
      <c r="H112" s="181"/>
      <c r="I112" s="181"/>
      <c r="J112" s="181"/>
      <c r="K112" s="181"/>
      <c r="L112" s="181"/>
      <c r="M112" s="6"/>
      <c r="N112" s="6"/>
      <c r="O112" s="6"/>
      <c r="P112" s="6"/>
      <c r="Q112" s="6"/>
      <c r="R112" s="6"/>
      <c r="S112" s="6"/>
      <c r="T112" s="6"/>
      <c r="U112" s="6"/>
      <c r="V112" s="6"/>
      <c r="W112" s="6"/>
      <c r="X112" s="6"/>
      <c r="Y112" s="6"/>
      <c r="Z112" s="6"/>
    </row>
    <row r="113" ht="15.0" customHeight="1">
      <c r="A113" s="181"/>
      <c r="B113" s="181"/>
      <c r="C113" s="181"/>
      <c r="D113" s="181"/>
      <c r="E113" s="181"/>
      <c r="F113" s="181"/>
      <c r="G113" s="181"/>
      <c r="H113" s="181"/>
      <c r="I113" s="181"/>
      <c r="J113" s="181"/>
      <c r="K113" s="181"/>
      <c r="L113" s="181"/>
      <c r="M113" s="6"/>
      <c r="N113" s="6"/>
      <c r="O113" s="6"/>
      <c r="P113" s="6"/>
      <c r="Q113" s="6"/>
      <c r="R113" s="6"/>
      <c r="S113" s="6"/>
      <c r="T113" s="6"/>
      <c r="U113" s="6"/>
      <c r="V113" s="6"/>
      <c r="W113" s="6"/>
      <c r="X113" s="6"/>
      <c r="Y113" s="6"/>
      <c r="Z113" s="6"/>
    </row>
    <row r="114" ht="15.0" customHeight="1">
      <c r="A114" s="181"/>
      <c r="B114" s="181"/>
      <c r="C114" s="181"/>
      <c r="D114" s="181"/>
      <c r="E114" s="181"/>
      <c r="F114" s="181"/>
      <c r="G114" s="181"/>
      <c r="H114" s="181"/>
      <c r="I114" s="181"/>
      <c r="J114" s="181"/>
      <c r="K114" s="181"/>
      <c r="L114" s="181"/>
      <c r="M114" s="6"/>
      <c r="N114" s="6"/>
      <c r="O114" s="6"/>
      <c r="P114" s="6"/>
      <c r="Q114" s="6"/>
      <c r="R114" s="6"/>
      <c r="S114" s="6"/>
      <c r="T114" s="6"/>
      <c r="U114" s="6"/>
      <c r="V114" s="6"/>
      <c r="W114" s="6"/>
      <c r="X114" s="6"/>
      <c r="Y114" s="6"/>
      <c r="Z114" s="6"/>
    </row>
    <row r="115" ht="15.0" customHeight="1">
      <c r="A115" s="181"/>
      <c r="B115" s="181"/>
      <c r="C115" s="181"/>
      <c r="D115" s="181"/>
      <c r="E115" s="181"/>
      <c r="F115" s="181"/>
      <c r="G115" s="181"/>
      <c r="H115" s="181"/>
      <c r="I115" s="181"/>
      <c r="J115" s="181"/>
      <c r="K115" s="181"/>
      <c r="L115" s="181"/>
      <c r="M115" s="6"/>
      <c r="N115" s="6"/>
      <c r="O115" s="6"/>
      <c r="P115" s="6"/>
      <c r="Q115" s="6"/>
      <c r="R115" s="6"/>
      <c r="S115" s="6"/>
      <c r="T115" s="6"/>
      <c r="U115" s="6"/>
      <c r="V115" s="6"/>
      <c r="W115" s="6"/>
      <c r="X115" s="6"/>
      <c r="Y115" s="6"/>
      <c r="Z115" s="6"/>
    </row>
    <row r="116" ht="15.0" customHeight="1">
      <c r="A116" s="181"/>
      <c r="B116" s="181"/>
      <c r="C116" s="181"/>
      <c r="D116" s="181"/>
      <c r="E116" s="181"/>
      <c r="F116" s="181"/>
      <c r="G116" s="181"/>
      <c r="H116" s="181"/>
      <c r="I116" s="181"/>
      <c r="J116" s="181"/>
      <c r="K116" s="181"/>
      <c r="L116" s="181"/>
      <c r="M116" s="6"/>
      <c r="N116" s="6"/>
      <c r="O116" s="6"/>
      <c r="P116" s="6"/>
      <c r="Q116" s="6"/>
      <c r="R116" s="6"/>
      <c r="S116" s="6"/>
      <c r="T116" s="6"/>
      <c r="U116" s="6"/>
      <c r="V116" s="6"/>
      <c r="W116" s="6"/>
      <c r="X116" s="6"/>
      <c r="Y116" s="6"/>
      <c r="Z116" s="6"/>
    </row>
    <row r="117" ht="15.0" customHeight="1">
      <c r="A117" s="181"/>
      <c r="B117" s="181"/>
      <c r="C117" s="181"/>
      <c r="D117" s="181"/>
      <c r="E117" s="181"/>
      <c r="F117" s="181"/>
      <c r="G117" s="181"/>
      <c r="H117" s="181"/>
      <c r="I117" s="181"/>
      <c r="J117" s="181"/>
      <c r="K117" s="181"/>
      <c r="L117" s="181"/>
      <c r="M117" s="6"/>
      <c r="N117" s="6"/>
      <c r="O117" s="6"/>
      <c r="P117" s="6"/>
      <c r="Q117" s="6"/>
      <c r="R117" s="6"/>
      <c r="S117" s="6"/>
      <c r="T117" s="6"/>
      <c r="U117" s="6"/>
      <c r="V117" s="6"/>
      <c r="W117" s="6"/>
      <c r="X117" s="6"/>
      <c r="Y117" s="6"/>
      <c r="Z117" s="6"/>
    </row>
    <row r="118" ht="15.0" customHeight="1">
      <c r="A118" s="181"/>
      <c r="B118" s="181"/>
      <c r="C118" s="181"/>
      <c r="D118" s="181"/>
      <c r="E118" s="181"/>
      <c r="F118" s="181"/>
      <c r="G118" s="181"/>
      <c r="H118" s="181"/>
      <c r="I118" s="181"/>
      <c r="J118" s="181"/>
      <c r="K118" s="181"/>
      <c r="L118" s="181"/>
      <c r="M118" s="6"/>
      <c r="N118" s="6"/>
      <c r="O118" s="6"/>
      <c r="P118" s="6"/>
      <c r="Q118" s="6"/>
      <c r="R118" s="6"/>
      <c r="S118" s="6"/>
      <c r="T118" s="6"/>
      <c r="U118" s="6"/>
      <c r="V118" s="6"/>
      <c r="W118" s="6"/>
      <c r="X118" s="6"/>
      <c r="Y118" s="6"/>
      <c r="Z118" s="6"/>
    </row>
    <row r="119" ht="15.0" customHeight="1">
      <c r="A119" s="181"/>
      <c r="B119" s="181"/>
      <c r="C119" s="181"/>
      <c r="D119" s="181"/>
      <c r="E119" s="181"/>
      <c r="F119" s="181"/>
      <c r="G119" s="181"/>
      <c r="H119" s="181"/>
      <c r="I119" s="181"/>
      <c r="J119" s="181"/>
      <c r="K119" s="181"/>
      <c r="L119" s="181"/>
      <c r="M119" s="6"/>
      <c r="N119" s="6"/>
      <c r="O119" s="6"/>
      <c r="P119" s="6"/>
      <c r="Q119" s="6"/>
      <c r="R119" s="6"/>
      <c r="S119" s="6"/>
      <c r="T119" s="6"/>
      <c r="U119" s="6"/>
      <c r="V119" s="6"/>
      <c r="W119" s="6"/>
      <c r="X119" s="6"/>
      <c r="Y119" s="6"/>
      <c r="Z119" s="6"/>
    </row>
    <row r="120" ht="15.0" customHeight="1">
      <c r="A120" s="181"/>
      <c r="B120" s="181"/>
      <c r="C120" s="181"/>
      <c r="D120" s="181"/>
      <c r="E120" s="181"/>
      <c r="F120" s="181"/>
      <c r="G120" s="181"/>
      <c r="H120" s="181"/>
      <c r="I120" s="181"/>
      <c r="J120" s="181"/>
      <c r="K120" s="181"/>
      <c r="L120" s="181"/>
      <c r="M120" s="6"/>
      <c r="N120" s="6"/>
      <c r="O120" s="6"/>
      <c r="P120" s="6"/>
      <c r="Q120" s="6"/>
      <c r="R120" s="6"/>
      <c r="S120" s="6"/>
      <c r="T120" s="6"/>
      <c r="U120" s="6"/>
      <c r="V120" s="6"/>
      <c r="W120" s="6"/>
      <c r="X120" s="6"/>
      <c r="Y120" s="6"/>
      <c r="Z120" s="6"/>
    </row>
    <row r="121" ht="15.0" customHeight="1">
      <c r="A121" s="181"/>
      <c r="B121" s="181"/>
      <c r="C121" s="181"/>
      <c r="D121" s="181"/>
      <c r="E121" s="181"/>
      <c r="F121" s="181"/>
      <c r="G121" s="181"/>
      <c r="H121" s="181"/>
      <c r="I121" s="181"/>
      <c r="J121" s="181"/>
      <c r="K121" s="181"/>
      <c r="L121" s="181"/>
      <c r="M121" s="6"/>
      <c r="N121" s="6"/>
      <c r="O121" s="6"/>
      <c r="P121" s="6"/>
      <c r="Q121" s="6"/>
      <c r="R121" s="6"/>
      <c r="S121" s="6"/>
      <c r="T121" s="6"/>
      <c r="U121" s="6"/>
      <c r="V121" s="6"/>
      <c r="W121" s="6"/>
      <c r="X121" s="6"/>
      <c r="Y121" s="6"/>
      <c r="Z121" s="6"/>
    </row>
    <row r="122" ht="15.0" customHeight="1">
      <c r="A122" s="181"/>
      <c r="B122" s="181"/>
      <c r="C122" s="181"/>
      <c r="D122" s="181"/>
      <c r="E122" s="181"/>
      <c r="F122" s="181"/>
      <c r="G122" s="181"/>
      <c r="H122" s="181"/>
      <c r="I122" s="181"/>
      <c r="J122" s="181"/>
      <c r="K122" s="181"/>
      <c r="L122" s="181"/>
      <c r="M122" s="6"/>
      <c r="N122" s="6"/>
      <c r="O122" s="6"/>
      <c r="P122" s="6"/>
      <c r="Q122" s="6"/>
      <c r="R122" s="6"/>
      <c r="S122" s="6"/>
      <c r="T122" s="6"/>
      <c r="U122" s="6"/>
      <c r="V122" s="6"/>
      <c r="W122" s="6"/>
      <c r="X122" s="6"/>
      <c r="Y122" s="6"/>
      <c r="Z122" s="6"/>
    </row>
    <row r="123" ht="15.0" customHeight="1">
      <c r="A123" s="181"/>
      <c r="B123" s="181"/>
      <c r="C123" s="181"/>
      <c r="D123" s="181"/>
      <c r="E123" s="181"/>
      <c r="F123" s="181"/>
      <c r="G123" s="181"/>
      <c r="H123" s="181"/>
      <c r="I123" s="181"/>
      <c r="J123" s="181"/>
      <c r="K123" s="181"/>
      <c r="L123" s="181"/>
      <c r="M123" s="6"/>
      <c r="N123" s="6"/>
      <c r="O123" s="6"/>
      <c r="P123" s="6"/>
      <c r="Q123" s="6"/>
      <c r="R123" s="6"/>
      <c r="S123" s="6"/>
      <c r="T123" s="6"/>
      <c r="U123" s="6"/>
      <c r="V123" s="6"/>
      <c r="W123" s="6"/>
      <c r="X123" s="6"/>
      <c r="Y123" s="6"/>
      <c r="Z123" s="6"/>
    </row>
    <row r="124" ht="15.0" customHeight="1">
      <c r="A124" s="181"/>
      <c r="B124" s="181"/>
      <c r="C124" s="181"/>
      <c r="D124" s="181"/>
      <c r="E124" s="181"/>
      <c r="F124" s="181"/>
      <c r="G124" s="181"/>
      <c r="H124" s="181"/>
      <c r="I124" s="181"/>
      <c r="J124" s="181"/>
      <c r="K124" s="181"/>
      <c r="L124" s="181"/>
      <c r="M124" s="6"/>
      <c r="N124" s="6"/>
      <c r="O124" s="6"/>
      <c r="P124" s="6"/>
      <c r="Q124" s="6"/>
      <c r="R124" s="6"/>
      <c r="S124" s="6"/>
      <c r="T124" s="6"/>
      <c r="U124" s="6"/>
      <c r="V124" s="6"/>
      <c r="W124" s="6"/>
      <c r="X124" s="6"/>
      <c r="Y124" s="6"/>
      <c r="Z124" s="6"/>
    </row>
    <row r="125" ht="15.0" customHeight="1">
      <c r="A125" s="181"/>
      <c r="B125" s="181"/>
      <c r="C125" s="181"/>
      <c r="D125" s="181"/>
      <c r="E125" s="181"/>
      <c r="F125" s="181"/>
      <c r="G125" s="181"/>
      <c r="H125" s="181"/>
      <c r="I125" s="181"/>
      <c r="J125" s="181"/>
      <c r="K125" s="181"/>
      <c r="L125" s="181"/>
      <c r="M125" s="6"/>
      <c r="N125" s="6"/>
      <c r="O125" s="6"/>
      <c r="P125" s="6"/>
      <c r="Q125" s="6"/>
      <c r="R125" s="6"/>
      <c r="S125" s="6"/>
      <c r="T125" s="6"/>
      <c r="U125" s="6"/>
      <c r="V125" s="6"/>
      <c r="W125" s="6"/>
      <c r="X125" s="6"/>
      <c r="Y125" s="6"/>
      <c r="Z125" s="6"/>
    </row>
    <row r="126" ht="15.0" customHeight="1">
      <c r="A126" s="181"/>
      <c r="B126" s="181"/>
      <c r="C126" s="181"/>
      <c r="D126" s="181"/>
      <c r="E126" s="181"/>
      <c r="F126" s="181"/>
      <c r="G126" s="181"/>
      <c r="H126" s="181"/>
      <c r="I126" s="181"/>
      <c r="J126" s="181"/>
      <c r="K126" s="181"/>
      <c r="L126" s="181"/>
      <c r="M126" s="6"/>
      <c r="N126" s="6"/>
      <c r="O126" s="6"/>
      <c r="P126" s="6"/>
      <c r="Q126" s="6"/>
      <c r="R126" s="6"/>
      <c r="S126" s="6"/>
      <c r="T126" s="6"/>
      <c r="U126" s="6"/>
      <c r="V126" s="6"/>
      <c r="W126" s="6"/>
      <c r="X126" s="6"/>
      <c r="Y126" s="6"/>
      <c r="Z126" s="6"/>
    </row>
    <row r="127" ht="15.0" customHeight="1">
      <c r="A127" s="181"/>
      <c r="B127" s="181"/>
      <c r="C127" s="181"/>
      <c r="D127" s="181"/>
      <c r="E127" s="181"/>
      <c r="F127" s="181"/>
      <c r="G127" s="181"/>
      <c r="H127" s="181"/>
      <c r="I127" s="181"/>
      <c r="J127" s="181"/>
      <c r="K127" s="181"/>
      <c r="L127" s="181"/>
      <c r="M127" s="6"/>
      <c r="N127" s="6"/>
      <c r="O127" s="6"/>
      <c r="P127" s="6"/>
      <c r="Q127" s="6"/>
      <c r="R127" s="6"/>
      <c r="S127" s="6"/>
      <c r="T127" s="6"/>
      <c r="U127" s="6"/>
      <c r="V127" s="6"/>
      <c r="W127" s="6"/>
      <c r="X127" s="6"/>
      <c r="Y127" s="6"/>
      <c r="Z127" s="6"/>
    </row>
    <row r="128" ht="15.0" customHeight="1">
      <c r="A128" s="181"/>
      <c r="B128" s="181"/>
      <c r="C128" s="181"/>
      <c r="D128" s="181"/>
      <c r="E128" s="181"/>
      <c r="F128" s="181"/>
      <c r="G128" s="181"/>
      <c r="H128" s="181"/>
      <c r="I128" s="181"/>
      <c r="J128" s="181"/>
      <c r="K128" s="181"/>
      <c r="L128" s="181"/>
      <c r="M128" s="6"/>
      <c r="N128" s="6"/>
      <c r="O128" s="6"/>
      <c r="P128" s="6"/>
      <c r="Q128" s="6"/>
      <c r="R128" s="6"/>
      <c r="S128" s="6"/>
      <c r="T128" s="6"/>
      <c r="U128" s="6"/>
      <c r="V128" s="6"/>
      <c r="W128" s="6"/>
      <c r="X128" s="6"/>
      <c r="Y128" s="6"/>
      <c r="Z128" s="6"/>
    </row>
    <row r="129" ht="15.0" customHeight="1">
      <c r="A129" s="181"/>
      <c r="B129" s="181"/>
      <c r="C129" s="181"/>
      <c r="D129" s="181"/>
      <c r="E129" s="181"/>
      <c r="F129" s="181"/>
      <c r="G129" s="181"/>
      <c r="H129" s="181"/>
      <c r="I129" s="181"/>
      <c r="J129" s="181"/>
      <c r="K129" s="181"/>
      <c r="L129" s="181"/>
      <c r="M129" s="6"/>
      <c r="N129" s="6"/>
      <c r="O129" s="6"/>
      <c r="P129" s="6"/>
      <c r="Q129" s="6"/>
      <c r="R129" s="6"/>
      <c r="S129" s="6"/>
      <c r="T129" s="6"/>
      <c r="U129" s="6"/>
      <c r="V129" s="6"/>
      <c r="W129" s="6"/>
      <c r="X129" s="6"/>
      <c r="Y129" s="6"/>
      <c r="Z129" s="6"/>
    </row>
    <row r="130" ht="15.0" customHeight="1">
      <c r="A130" s="181"/>
      <c r="B130" s="181"/>
      <c r="C130" s="181"/>
      <c r="D130" s="181"/>
      <c r="E130" s="181"/>
      <c r="F130" s="181"/>
      <c r="G130" s="181"/>
      <c r="H130" s="181"/>
      <c r="I130" s="181"/>
      <c r="J130" s="181"/>
      <c r="K130" s="181"/>
      <c r="L130" s="181"/>
      <c r="M130" s="6"/>
      <c r="N130" s="6"/>
      <c r="O130" s="6"/>
      <c r="P130" s="6"/>
      <c r="Q130" s="6"/>
      <c r="R130" s="6"/>
      <c r="S130" s="6"/>
      <c r="T130" s="6"/>
      <c r="U130" s="6"/>
      <c r="V130" s="6"/>
      <c r="W130" s="6"/>
      <c r="X130" s="6"/>
      <c r="Y130" s="6"/>
      <c r="Z130" s="6"/>
    </row>
    <row r="131" ht="15.0" customHeight="1">
      <c r="A131" s="181"/>
      <c r="B131" s="181"/>
      <c r="C131" s="181"/>
      <c r="D131" s="181"/>
      <c r="E131" s="181"/>
      <c r="F131" s="181"/>
      <c r="G131" s="181"/>
      <c r="H131" s="181"/>
      <c r="I131" s="181"/>
      <c r="J131" s="181"/>
      <c r="K131" s="181"/>
      <c r="L131" s="181"/>
      <c r="M131" s="6"/>
      <c r="N131" s="6"/>
      <c r="O131" s="6"/>
      <c r="P131" s="6"/>
      <c r="Q131" s="6"/>
      <c r="R131" s="6"/>
      <c r="S131" s="6"/>
      <c r="T131" s="6"/>
      <c r="U131" s="6"/>
      <c r="V131" s="6"/>
      <c r="W131" s="6"/>
      <c r="X131" s="6"/>
      <c r="Y131" s="6"/>
      <c r="Z131" s="6"/>
    </row>
    <row r="132" ht="15.0" customHeight="1">
      <c r="A132" s="181"/>
      <c r="B132" s="181"/>
      <c r="C132" s="181"/>
      <c r="D132" s="181"/>
      <c r="E132" s="181"/>
      <c r="F132" s="181"/>
      <c r="G132" s="181"/>
      <c r="H132" s="181"/>
      <c r="I132" s="181"/>
      <c r="J132" s="181"/>
      <c r="K132" s="181"/>
      <c r="L132" s="181"/>
      <c r="M132" s="6"/>
      <c r="N132" s="6"/>
      <c r="O132" s="6"/>
      <c r="P132" s="6"/>
      <c r="Q132" s="6"/>
      <c r="R132" s="6"/>
      <c r="S132" s="6"/>
      <c r="T132" s="6"/>
      <c r="U132" s="6"/>
      <c r="V132" s="6"/>
      <c r="W132" s="6"/>
      <c r="X132" s="6"/>
      <c r="Y132" s="6"/>
      <c r="Z132" s="6"/>
    </row>
    <row r="133" ht="15.0" customHeight="1">
      <c r="A133" s="181"/>
      <c r="B133" s="181"/>
      <c r="C133" s="181"/>
      <c r="D133" s="181"/>
      <c r="E133" s="181"/>
      <c r="F133" s="181"/>
      <c r="G133" s="181"/>
      <c r="H133" s="181"/>
      <c r="I133" s="181"/>
      <c r="J133" s="181"/>
      <c r="K133" s="181"/>
      <c r="L133" s="181"/>
      <c r="M133" s="6"/>
      <c r="N133" s="6"/>
      <c r="O133" s="6"/>
      <c r="P133" s="6"/>
      <c r="Q133" s="6"/>
      <c r="R133" s="6"/>
      <c r="S133" s="6"/>
      <c r="T133" s="6"/>
      <c r="U133" s="6"/>
      <c r="V133" s="6"/>
      <c r="W133" s="6"/>
      <c r="X133" s="6"/>
      <c r="Y133" s="6"/>
      <c r="Z133" s="6"/>
    </row>
    <row r="134" ht="15.0" customHeight="1">
      <c r="A134" s="181"/>
      <c r="B134" s="181"/>
      <c r="C134" s="181"/>
      <c r="D134" s="181"/>
      <c r="E134" s="181"/>
      <c r="F134" s="181"/>
      <c r="G134" s="181"/>
      <c r="H134" s="181"/>
      <c r="I134" s="181"/>
      <c r="J134" s="181"/>
      <c r="K134" s="181"/>
      <c r="L134" s="181"/>
      <c r="M134" s="6"/>
      <c r="N134" s="6"/>
      <c r="O134" s="6"/>
      <c r="P134" s="6"/>
      <c r="Q134" s="6"/>
      <c r="R134" s="6"/>
      <c r="S134" s="6"/>
      <c r="T134" s="6"/>
      <c r="U134" s="6"/>
      <c r="V134" s="6"/>
      <c r="W134" s="6"/>
      <c r="X134" s="6"/>
      <c r="Y134" s="6"/>
      <c r="Z134" s="6"/>
    </row>
    <row r="135" ht="15.0" customHeight="1">
      <c r="A135" s="181"/>
      <c r="B135" s="181"/>
      <c r="C135" s="181"/>
      <c r="D135" s="181"/>
      <c r="E135" s="181"/>
      <c r="F135" s="181"/>
      <c r="G135" s="181"/>
      <c r="H135" s="181"/>
      <c r="I135" s="181"/>
      <c r="J135" s="181"/>
      <c r="K135" s="181"/>
      <c r="L135" s="181"/>
      <c r="M135" s="6"/>
      <c r="N135" s="6"/>
      <c r="O135" s="6"/>
      <c r="P135" s="6"/>
      <c r="Q135" s="6"/>
      <c r="R135" s="6"/>
      <c r="S135" s="6"/>
      <c r="T135" s="6"/>
      <c r="U135" s="6"/>
      <c r="V135" s="6"/>
      <c r="W135" s="6"/>
      <c r="X135" s="6"/>
      <c r="Y135" s="6"/>
      <c r="Z135" s="6"/>
    </row>
    <row r="136" ht="15.0" customHeight="1">
      <c r="A136" s="181"/>
      <c r="B136" s="181"/>
      <c r="C136" s="181"/>
      <c r="D136" s="181"/>
      <c r="E136" s="181"/>
      <c r="F136" s="181"/>
      <c r="G136" s="181"/>
      <c r="H136" s="181"/>
      <c r="I136" s="181"/>
      <c r="J136" s="181"/>
      <c r="K136" s="181"/>
      <c r="L136" s="181"/>
      <c r="M136" s="6"/>
      <c r="N136" s="6"/>
      <c r="O136" s="6"/>
      <c r="P136" s="6"/>
      <c r="Q136" s="6"/>
      <c r="R136" s="6"/>
      <c r="S136" s="6"/>
      <c r="T136" s="6"/>
      <c r="U136" s="6"/>
      <c r="V136" s="6"/>
      <c r="W136" s="6"/>
      <c r="X136" s="6"/>
      <c r="Y136" s="6"/>
      <c r="Z136" s="6"/>
    </row>
    <row r="137" ht="15.0" customHeight="1">
      <c r="A137" s="181"/>
      <c r="B137" s="181"/>
      <c r="C137" s="181"/>
      <c r="D137" s="181"/>
      <c r="E137" s="181"/>
      <c r="F137" s="181"/>
      <c r="G137" s="181"/>
      <c r="H137" s="181"/>
      <c r="I137" s="181"/>
      <c r="J137" s="181"/>
      <c r="K137" s="181"/>
      <c r="L137" s="181"/>
      <c r="M137" s="6"/>
      <c r="N137" s="6"/>
      <c r="O137" s="6"/>
      <c r="P137" s="6"/>
      <c r="Q137" s="6"/>
      <c r="R137" s="6"/>
      <c r="S137" s="6"/>
      <c r="T137" s="6"/>
      <c r="U137" s="6"/>
      <c r="V137" s="6"/>
      <c r="W137" s="6"/>
      <c r="X137" s="6"/>
      <c r="Y137" s="6"/>
      <c r="Z137" s="6"/>
    </row>
    <row r="138" ht="15.0" customHeight="1">
      <c r="A138" s="181"/>
      <c r="B138" s="181"/>
      <c r="C138" s="181"/>
      <c r="D138" s="181"/>
      <c r="E138" s="181"/>
      <c r="F138" s="181"/>
      <c r="G138" s="181"/>
      <c r="H138" s="181"/>
      <c r="I138" s="181"/>
      <c r="J138" s="181"/>
      <c r="K138" s="181"/>
      <c r="L138" s="181"/>
      <c r="M138" s="6"/>
      <c r="N138" s="6"/>
      <c r="O138" s="6"/>
      <c r="P138" s="6"/>
      <c r="Q138" s="6"/>
      <c r="R138" s="6"/>
      <c r="S138" s="6"/>
      <c r="T138" s="6"/>
      <c r="U138" s="6"/>
      <c r="V138" s="6"/>
      <c r="W138" s="6"/>
      <c r="X138" s="6"/>
      <c r="Y138" s="6"/>
      <c r="Z138" s="6"/>
    </row>
    <row r="139" ht="15.0" customHeight="1">
      <c r="A139" s="181"/>
      <c r="B139" s="181"/>
      <c r="C139" s="181"/>
      <c r="D139" s="181"/>
      <c r="E139" s="181"/>
      <c r="F139" s="181"/>
      <c r="G139" s="181"/>
      <c r="H139" s="181"/>
      <c r="I139" s="181"/>
      <c r="J139" s="181"/>
      <c r="K139" s="181"/>
      <c r="L139" s="181"/>
      <c r="M139" s="6"/>
      <c r="N139" s="6"/>
      <c r="O139" s="6"/>
      <c r="P139" s="6"/>
      <c r="Q139" s="6"/>
      <c r="R139" s="6"/>
      <c r="S139" s="6"/>
      <c r="T139" s="6"/>
      <c r="U139" s="6"/>
      <c r="V139" s="6"/>
      <c r="W139" s="6"/>
      <c r="X139" s="6"/>
      <c r="Y139" s="6"/>
      <c r="Z139" s="6"/>
    </row>
    <row r="140" ht="15.0" customHeight="1">
      <c r="A140" s="181"/>
      <c r="B140" s="181"/>
      <c r="C140" s="181"/>
      <c r="D140" s="181"/>
      <c r="E140" s="181"/>
      <c r="F140" s="181"/>
      <c r="G140" s="181"/>
      <c r="H140" s="181"/>
      <c r="I140" s="181"/>
      <c r="J140" s="181"/>
      <c r="K140" s="181"/>
      <c r="L140" s="181"/>
      <c r="M140" s="6"/>
      <c r="N140" s="6"/>
      <c r="O140" s="6"/>
      <c r="P140" s="6"/>
      <c r="Q140" s="6"/>
      <c r="R140" s="6"/>
      <c r="S140" s="6"/>
      <c r="T140" s="6"/>
      <c r="U140" s="6"/>
      <c r="V140" s="6"/>
      <c r="W140" s="6"/>
      <c r="X140" s="6"/>
      <c r="Y140" s="6"/>
      <c r="Z140" s="6"/>
    </row>
    <row r="141" ht="15.0" customHeight="1">
      <c r="A141" s="181"/>
      <c r="B141" s="181"/>
      <c r="C141" s="181"/>
      <c r="D141" s="181"/>
      <c r="E141" s="181"/>
      <c r="F141" s="181"/>
      <c r="G141" s="181"/>
      <c r="H141" s="181"/>
      <c r="I141" s="181"/>
      <c r="J141" s="181"/>
      <c r="K141" s="181"/>
      <c r="L141" s="181"/>
      <c r="M141" s="6"/>
      <c r="N141" s="6"/>
      <c r="O141" s="6"/>
      <c r="P141" s="6"/>
      <c r="Q141" s="6"/>
      <c r="R141" s="6"/>
      <c r="S141" s="6"/>
      <c r="T141" s="6"/>
      <c r="U141" s="6"/>
      <c r="V141" s="6"/>
      <c r="W141" s="6"/>
      <c r="X141" s="6"/>
      <c r="Y141" s="6"/>
      <c r="Z141" s="6"/>
    </row>
    <row r="142" ht="15.0" customHeight="1">
      <c r="A142" s="181"/>
      <c r="B142" s="181"/>
      <c r="C142" s="181"/>
      <c r="D142" s="181"/>
      <c r="E142" s="181"/>
      <c r="F142" s="181"/>
      <c r="G142" s="181"/>
      <c r="H142" s="181"/>
      <c r="I142" s="181"/>
      <c r="J142" s="181"/>
      <c r="K142" s="181"/>
      <c r="L142" s="181"/>
      <c r="M142" s="6"/>
      <c r="N142" s="6"/>
      <c r="O142" s="6"/>
      <c r="P142" s="6"/>
      <c r="Q142" s="6"/>
      <c r="R142" s="6"/>
      <c r="S142" s="6"/>
      <c r="T142" s="6"/>
      <c r="U142" s="6"/>
      <c r="V142" s="6"/>
      <c r="W142" s="6"/>
      <c r="X142" s="6"/>
      <c r="Y142" s="6"/>
      <c r="Z142" s="6"/>
    </row>
    <row r="143" ht="15.0" customHeight="1">
      <c r="A143" s="181"/>
      <c r="B143" s="181"/>
      <c r="C143" s="181"/>
      <c r="D143" s="181"/>
      <c r="E143" s="181"/>
      <c r="F143" s="181"/>
      <c r="G143" s="181"/>
      <c r="H143" s="181"/>
      <c r="I143" s="181"/>
      <c r="J143" s="181"/>
      <c r="K143" s="181"/>
      <c r="L143" s="181"/>
      <c r="M143" s="6"/>
      <c r="N143" s="6"/>
      <c r="O143" s="6"/>
      <c r="P143" s="6"/>
      <c r="Q143" s="6"/>
      <c r="R143" s="6"/>
      <c r="S143" s="6"/>
      <c r="T143" s="6"/>
      <c r="U143" s="6"/>
      <c r="V143" s="6"/>
      <c r="W143" s="6"/>
      <c r="X143" s="6"/>
      <c r="Y143" s="6"/>
      <c r="Z143" s="6"/>
    </row>
    <row r="144" ht="15.0" customHeight="1">
      <c r="A144" s="181"/>
      <c r="B144" s="181"/>
      <c r="C144" s="181"/>
      <c r="D144" s="181"/>
      <c r="E144" s="181"/>
      <c r="F144" s="181"/>
      <c r="G144" s="181"/>
      <c r="H144" s="181"/>
      <c r="I144" s="181"/>
      <c r="J144" s="181"/>
      <c r="K144" s="181"/>
      <c r="L144" s="181"/>
      <c r="M144" s="6"/>
      <c r="N144" s="6"/>
      <c r="O144" s="6"/>
      <c r="P144" s="6"/>
      <c r="Q144" s="6"/>
      <c r="R144" s="6"/>
      <c r="S144" s="6"/>
      <c r="T144" s="6"/>
      <c r="U144" s="6"/>
      <c r="V144" s="6"/>
      <c r="W144" s="6"/>
      <c r="X144" s="6"/>
      <c r="Y144" s="6"/>
      <c r="Z144" s="6"/>
    </row>
    <row r="145" ht="15.0" customHeight="1">
      <c r="A145" s="181"/>
      <c r="B145" s="181"/>
      <c r="C145" s="181"/>
      <c r="D145" s="181"/>
      <c r="E145" s="181"/>
      <c r="F145" s="181"/>
      <c r="G145" s="181"/>
      <c r="H145" s="181"/>
      <c r="I145" s="181"/>
      <c r="J145" s="181"/>
      <c r="K145" s="181"/>
      <c r="L145" s="181"/>
      <c r="M145" s="6"/>
      <c r="N145" s="6"/>
      <c r="O145" s="6"/>
      <c r="P145" s="6"/>
      <c r="Q145" s="6"/>
      <c r="R145" s="6"/>
      <c r="S145" s="6"/>
      <c r="T145" s="6"/>
      <c r="U145" s="6"/>
      <c r="V145" s="6"/>
      <c r="W145" s="6"/>
      <c r="X145" s="6"/>
      <c r="Y145" s="6"/>
      <c r="Z145" s="6"/>
    </row>
    <row r="146" ht="15.0" customHeight="1">
      <c r="A146" s="181"/>
      <c r="B146" s="181"/>
      <c r="C146" s="181"/>
      <c r="D146" s="181"/>
      <c r="E146" s="181"/>
      <c r="F146" s="181"/>
      <c r="G146" s="181"/>
      <c r="H146" s="181"/>
      <c r="I146" s="181"/>
      <c r="J146" s="181"/>
      <c r="K146" s="181"/>
      <c r="L146" s="181"/>
      <c r="M146" s="6"/>
      <c r="N146" s="6"/>
      <c r="O146" s="6"/>
      <c r="P146" s="6"/>
      <c r="Q146" s="6"/>
      <c r="R146" s="6"/>
      <c r="S146" s="6"/>
      <c r="T146" s="6"/>
      <c r="U146" s="6"/>
      <c r="V146" s="6"/>
      <c r="W146" s="6"/>
      <c r="X146" s="6"/>
      <c r="Y146" s="6"/>
      <c r="Z146" s="6"/>
    </row>
    <row r="147" ht="15.0" customHeight="1">
      <c r="A147" s="181"/>
      <c r="B147" s="181"/>
      <c r="C147" s="181"/>
      <c r="D147" s="181"/>
      <c r="E147" s="181"/>
      <c r="F147" s="181"/>
      <c r="G147" s="181"/>
      <c r="H147" s="181"/>
      <c r="I147" s="181"/>
      <c r="J147" s="181"/>
      <c r="K147" s="181"/>
      <c r="L147" s="181"/>
      <c r="M147" s="6"/>
      <c r="N147" s="6"/>
      <c r="O147" s="6"/>
      <c r="P147" s="6"/>
      <c r="Q147" s="6"/>
      <c r="R147" s="6"/>
      <c r="S147" s="6"/>
      <c r="T147" s="6"/>
      <c r="U147" s="6"/>
      <c r="V147" s="6"/>
      <c r="W147" s="6"/>
      <c r="X147" s="6"/>
      <c r="Y147" s="6"/>
      <c r="Z147" s="6"/>
    </row>
    <row r="148" ht="15.0" customHeight="1">
      <c r="A148" s="181"/>
      <c r="B148" s="181"/>
      <c r="C148" s="181"/>
      <c r="D148" s="181"/>
      <c r="E148" s="181"/>
      <c r="F148" s="181"/>
      <c r="G148" s="181"/>
      <c r="H148" s="181"/>
      <c r="I148" s="181"/>
      <c r="J148" s="181"/>
      <c r="K148" s="181"/>
      <c r="L148" s="181"/>
      <c r="M148" s="6"/>
      <c r="N148" s="6"/>
      <c r="O148" s="6"/>
      <c r="P148" s="6"/>
      <c r="Q148" s="6"/>
      <c r="R148" s="6"/>
      <c r="S148" s="6"/>
      <c r="T148" s="6"/>
      <c r="U148" s="6"/>
      <c r="V148" s="6"/>
      <c r="W148" s="6"/>
      <c r="X148" s="6"/>
      <c r="Y148" s="6"/>
      <c r="Z148" s="6"/>
    </row>
    <row r="149" ht="15.0" customHeight="1">
      <c r="A149" s="181"/>
      <c r="B149" s="181"/>
      <c r="C149" s="181"/>
      <c r="D149" s="181"/>
      <c r="E149" s="181"/>
      <c r="F149" s="181"/>
      <c r="G149" s="181"/>
      <c r="H149" s="181"/>
      <c r="I149" s="181"/>
      <c r="J149" s="181"/>
      <c r="K149" s="181"/>
      <c r="L149" s="181"/>
      <c r="M149" s="6"/>
      <c r="N149" s="6"/>
      <c r="O149" s="6"/>
      <c r="P149" s="6"/>
      <c r="Q149" s="6"/>
      <c r="R149" s="6"/>
      <c r="S149" s="6"/>
      <c r="T149" s="6"/>
      <c r="U149" s="6"/>
      <c r="V149" s="6"/>
      <c r="W149" s="6"/>
      <c r="X149" s="6"/>
      <c r="Y149" s="6"/>
      <c r="Z149" s="6"/>
    </row>
    <row r="150" ht="15.0" customHeight="1">
      <c r="A150" s="181"/>
      <c r="B150" s="181"/>
      <c r="C150" s="181"/>
      <c r="D150" s="181"/>
      <c r="E150" s="181"/>
      <c r="F150" s="181"/>
      <c r="G150" s="181"/>
      <c r="H150" s="181"/>
      <c r="I150" s="181"/>
      <c r="J150" s="181"/>
      <c r="K150" s="181"/>
      <c r="L150" s="181"/>
      <c r="M150" s="6"/>
      <c r="N150" s="6"/>
      <c r="O150" s="6"/>
      <c r="P150" s="6"/>
      <c r="Q150" s="6"/>
      <c r="R150" s="6"/>
      <c r="S150" s="6"/>
      <c r="T150" s="6"/>
      <c r="U150" s="6"/>
      <c r="V150" s="6"/>
      <c r="W150" s="6"/>
      <c r="X150" s="6"/>
      <c r="Y150" s="6"/>
      <c r="Z150" s="6"/>
    </row>
    <row r="151" ht="15.0" customHeight="1">
      <c r="A151" s="181"/>
      <c r="B151" s="181"/>
      <c r="C151" s="181"/>
      <c r="D151" s="181"/>
      <c r="E151" s="181"/>
      <c r="F151" s="181"/>
      <c r="G151" s="181"/>
      <c r="H151" s="181"/>
      <c r="I151" s="181"/>
      <c r="J151" s="181"/>
      <c r="K151" s="181"/>
      <c r="L151" s="181"/>
      <c r="M151" s="6"/>
      <c r="N151" s="6"/>
      <c r="O151" s="6"/>
      <c r="P151" s="6"/>
      <c r="Q151" s="6"/>
      <c r="R151" s="6"/>
      <c r="S151" s="6"/>
      <c r="T151" s="6"/>
      <c r="U151" s="6"/>
      <c r="V151" s="6"/>
      <c r="W151" s="6"/>
      <c r="X151" s="6"/>
      <c r="Y151" s="6"/>
      <c r="Z151" s="6"/>
    </row>
    <row r="152" ht="15.0" customHeight="1">
      <c r="A152" s="181"/>
      <c r="B152" s="181"/>
      <c r="C152" s="181"/>
      <c r="D152" s="181"/>
      <c r="E152" s="181"/>
      <c r="F152" s="181"/>
      <c r="G152" s="181"/>
      <c r="H152" s="181"/>
      <c r="I152" s="181"/>
      <c r="J152" s="181"/>
      <c r="K152" s="181"/>
      <c r="L152" s="181"/>
      <c r="M152" s="6"/>
      <c r="N152" s="6"/>
      <c r="O152" s="6"/>
      <c r="P152" s="6"/>
      <c r="Q152" s="6"/>
      <c r="R152" s="6"/>
      <c r="S152" s="6"/>
      <c r="T152" s="6"/>
      <c r="U152" s="6"/>
      <c r="V152" s="6"/>
      <c r="W152" s="6"/>
      <c r="X152" s="6"/>
      <c r="Y152" s="6"/>
      <c r="Z152" s="6"/>
    </row>
    <row r="153" ht="15.0" customHeight="1">
      <c r="A153" s="181"/>
      <c r="B153" s="181"/>
      <c r="C153" s="181"/>
      <c r="D153" s="181"/>
      <c r="E153" s="181"/>
      <c r="F153" s="181"/>
      <c r="G153" s="181"/>
      <c r="H153" s="181"/>
      <c r="I153" s="181"/>
      <c r="J153" s="181"/>
      <c r="K153" s="181"/>
      <c r="L153" s="181"/>
      <c r="M153" s="6"/>
      <c r="N153" s="6"/>
      <c r="O153" s="6"/>
      <c r="P153" s="6"/>
      <c r="Q153" s="6"/>
      <c r="R153" s="6"/>
      <c r="S153" s="6"/>
      <c r="T153" s="6"/>
      <c r="U153" s="6"/>
      <c r="V153" s="6"/>
      <c r="W153" s="6"/>
      <c r="X153" s="6"/>
      <c r="Y153" s="6"/>
      <c r="Z153" s="6"/>
    </row>
    <row r="154" ht="15.0" customHeight="1">
      <c r="A154" s="181"/>
      <c r="B154" s="181"/>
      <c r="C154" s="181"/>
      <c r="D154" s="181"/>
      <c r="E154" s="181"/>
      <c r="F154" s="181"/>
      <c r="G154" s="181"/>
      <c r="H154" s="181"/>
      <c r="I154" s="181"/>
      <c r="J154" s="181"/>
      <c r="K154" s="181"/>
      <c r="L154" s="181"/>
      <c r="M154" s="6"/>
      <c r="N154" s="6"/>
      <c r="O154" s="6"/>
      <c r="P154" s="6"/>
      <c r="Q154" s="6"/>
      <c r="R154" s="6"/>
      <c r="S154" s="6"/>
      <c r="T154" s="6"/>
      <c r="U154" s="6"/>
      <c r="V154" s="6"/>
      <c r="W154" s="6"/>
      <c r="X154" s="6"/>
      <c r="Y154" s="6"/>
      <c r="Z154" s="6"/>
    </row>
    <row r="155" ht="15.0" customHeight="1">
      <c r="A155" s="181"/>
      <c r="B155" s="181"/>
      <c r="C155" s="181"/>
      <c r="D155" s="181"/>
      <c r="E155" s="181"/>
      <c r="F155" s="181"/>
      <c r="G155" s="181"/>
      <c r="H155" s="181"/>
      <c r="I155" s="181"/>
      <c r="J155" s="181"/>
      <c r="K155" s="181"/>
      <c r="L155" s="181"/>
      <c r="M155" s="6"/>
      <c r="N155" s="6"/>
      <c r="O155" s="6"/>
      <c r="P155" s="6"/>
      <c r="Q155" s="6"/>
      <c r="R155" s="6"/>
      <c r="S155" s="6"/>
      <c r="T155" s="6"/>
      <c r="U155" s="6"/>
      <c r="V155" s="6"/>
      <c r="W155" s="6"/>
      <c r="X155" s="6"/>
      <c r="Y155" s="6"/>
      <c r="Z155" s="6"/>
    </row>
    <row r="156" ht="15.0" customHeight="1">
      <c r="A156" s="181"/>
      <c r="B156" s="181"/>
      <c r="C156" s="181"/>
      <c r="D156" s="181"/>
      <c r="E156" s="181"/>
      <c r="F156" s="181"/>
      <c r="G156" s="181"/>
      <c r="H156" s="181"/>
      <c r="I156" s="181"/>
      <c r="J156" s="181"/>
      <c r="K156" s="181"/>
      <c r="L156" s="181"/>
      <c r="M156" s="6"/>
      <c r="N156" s="6"/>
      <c r="O156" s="6"/>
      <c r="P156" s="6"/>
      <c r="Q156" s="6"/>
      <c r="R156" s="6"/>
      <c r="S156" s="6"/>
      <c r="T156" s="6"/>
      <c r="U156" s="6"/>
      <c r="V156" s="6"/>
      <c r="W156" s="6"/>
      <c r="X156" s="6"/>
      <c r="Y156" s="6"/>
      <c r="Z156" s="6"/>
    </row>
    <row r="157" ht="15.0" customHeight="1">
      <c r="A157" s="181"/>
      <c r="B157" s="181"/>
      <c r="C157" s="181"/>
      <c r="D157" s="181"/>
      <c r="E157" s="181"/>
      <c r="F157" s="181"/>
      <c r="G157" s="181"/>
      <c r="H157" s="181"/>
      <c r="I157" s="181"/>
      <c r="J157" s="181"/>
      <c r="K157" s="181"/>
      <c r="L157" s="181"/>
      <c r="M157" s="6"/>
      <c r="N157" s="6"/>
      <c r="O157" s="6"/>
      <c r="P157" s="6"/>
      <c r="Q157" s="6"/>
      <c r="R157" s="6"/>
      <c r="S157" s="6"/>
      <c r="T157" s="6"/>
      <c r="U157" s="6"/>
      <c r="V157" s="6"/>
      <c r="W157" s="6"/>
      <c r="X157" s="6"/>
      <c r="Y157" s="6"/>
      <c r="Z157" s="6"/>
    </row>
    <row r="158" ht="15.0" customHeight="1">
      <c r="A158" s="181"/>
      <c r="B158" s="181"/>
      <c r="C158" s="181"/>
      <c r="D158" s="181"/>
      <c r="E158" s="181"/>
      <c r="F158" s="181"/>
      <c r="G158" s="181"/>
      <c r="H158" s="181"/>
      <c r="I158" s="181"/>
      <c r="J158" s="181"/>
      <c r="K158" s="181"/>
      <c r="L158" s="181"/>
      <c r="M158" s="6"/>
      <c r="N158" s="6"/>
      <c r="O158" s="6"/>
      <c r="P158" s="6"/>
      <c r="Q158" s="6"/>
      <c r="R158" s="6"/>
      <c r="S158" s="6"/>
      <c r="T158" s="6"/>
      <c r="U158" s="6"/>
      <c r="V158" s="6"/>
      <c r="W158" s="6"/>
      <c r="X158" s="6"/>
      <c r="Y158" s="6"/>
      <c r="Z158" s="6"/>
    </row>
    <row r="159" ht="15.0" customHeight="1">
      <c r="A159" s="181"/>
      <c r="B159" s="181"/>
      <c r="C159" s="181"/>
      <c r="D159" s="181"/>
      <c r="E159" s="181"/>
      <c r="F159" s="181"/>
      <c r="G159" s="181"/>
      <c r="H159" s="181"/>
      <c r="I159" s="181"/>
      <c r="J159" s="181"/>
      <c r="K159" s="181"/>
      <c r="L159" s="181"/>
      <c r="M159" s="6"/>
      <c r="N159" s="6"/>
      <c r="O159" s="6"/>
      <c r="P159" s="6"/>
      <c r="Q159" s="6"/>
      <c r="R159" s="6"/>
      <c r="S159" s="6"/>
      <c r="T159" s="6"/>
      <c r="U159" s="6"/>
      <c r="V159" s="6"/>
      <c r="W159" s="6"/>
      <c r="X159" s="6"/>
      <c r="Y159" s="6"/>
      <c r="Z159" s="6"/>
    </row>
    <row r="160" ht="15.0" customHeight="1">
      <c r="A160" s="181"/>
      <c r="B160" s="181"/>
      <c r="C160" s="181"/>
      <c r="D160" s="181"/>
      <c r="E160" s="181"/>
      <c r="F160" s="181"/>
      <c r="G160" s="181"/>
      <c r="H160" s="181"/>
      <c r="I160" s="181"/>
      <c r="J160" s="181"/>
      <c r="K160" s="181"/>
      <c r="L160" s="181"/>
      <c r="M160" s="6"/>
      <c r="N160" s="6"/>
      <c r="O160" s="6"/>
      <c r="P160" s="6"/>
      <c r="Q160" s="6"/>
      <c r="R160" s="6"/>
      <c r="S160" s="6"/>
      <c r="T160" s="6"/>
      <c r="U160" s="6"/>
      <c r="V160" s="6"/>
      <c r="W160" s="6"/>
      <c r="X160" s="6"/>
      <c r="Y160" s="6"/>
      <c r="Z160" s="6"/>
    </row>
    <row r="161" ht="15.0" customHeight="1">
      <c r="A161" s="181"/>
      <c r="B161" s="181"/>
      <c r="C161" s="181"/>
      <c r="D161" s="181"/>
      <c r="E161" s="181"/>
      <c r="F161" s="181"/>
      <c r="G161" s="181"/>
      <c r="H161" s="181"/>
      <c r="I161" s="181"/>
      <c r="J161" s="181"/>
      <c r="K161" s="181"/>
      <c r="L161" s="181"/>
      <c r="M161" s="6"/>
      <c r="N161" s="6"/>
      <c r="O161" s="6"/>
      <c r="P161" s="6"/>
      <c r="Q161" s="6"/>
      <c r="R161" s="6"/>
      <c r="S161" s="6"/>
      <c r="T161" s="6"/>
      <c r="U161" s="6"/>
      <c r="V161" s="6"/>
      <c r="W161" s="6"/>
      <c r="X161" s="6"/>
      <c r="Y161" s="6"/>
      <c r="Z161" s="6"/>
    </row>
    <row r="162" ht="15.0" customHeight="1">
      <c r="A162" s="181"/>
      <c r="B162" s="181"/>
      <c r="C162" s="181"/>
      <c r="D162" s="181"/>
      <c r="E162" s="181"/>
      <c r="F162" s="181"/>
      <c r="G162" s="181"/>
      <c r="H162" s="181"/>
      <c r="I162" s="181"/>
      <c r="J162" s="181"/>
      <c r="K162" s="181"/>
      <c r="L162" s="181"/>
      <c r="M162" s="6"/>
      <c r="N162" s="6"/>
      <c r="O162" s="6"/>
      <c r="P162" s="6"/>
      <c r="Q162" s="6"/>
      <c r="R162" s="6"/>
      <c r="S162" s="6"/>
      <c r="T162" s="6"/>
      <c r="U162" s="6"/>
      <c r="V162" s="6"/>
      <c r="W162" s="6"/>
      <c r="X162" s="6"/>
      <c r="Y162" s="6"/>
      <c r="Z162" s="6"/>
    </row>
    <row r="163" ht="15.0" customHeight="1">
      <c r="A163" s="181"/>
      <c r="B163" s="181"/>
      <c r="C163" s="181"/>
      <c r="D163" s="181"/>
      <c r="E163" s="181"/>
      <c r="F163" s="181"/>
      <c r="G163" s="181"/>
      <c r="H163" s="181"/>
      <c r="I163" s="181"/>
      <c r="J163" s="181"/>
      <c r="K163" s="181"/>
      <c r="L163" s="181"/>
      <c r="M163" s="6"/>
      <c r="N163" s="6"/>
      <c r="O163" s="6"/>
      <c r="P163" s="6"/>
      <c r="Q163" s="6"/>
      <c r="R163" s="6"/>
      <c r="S163" s="6"/>
      <c r="T163" s="6"/>
      <c r="U163" s="6"/>
      <c r="V163" s="6"/>
      <c r="W163" s="6"/>
      <c r="X163" s="6"/>
      <c r="Y163" s="6"/>
      <c r="Z163" s="6"/>
    </row>
    <row r="164" ht="15.0" customHeight="1">
      <c r="A164" s="181"/>
      <c r="B164" s="181"/>
      <c r="C164" s="181"/>
      <c r="D164" s="181"/>
      <c r="E164" s="181"/>
      <c r="F164" s="181"/>
      <c r="G164" s="181"/>
      <c r="H164" s="181"/>
      <c r="I164" s="181"/>
      <c r="J164" s="181"/>
      <c r="K164" s="181"/>
      <c r="L164" s="181"/>
      <c r="M164" s="6"/>
      <c r="N164" s="6"/>
      <c r="O164" s="6"/>
      <c r="P164" s="6"/>
      <c r="Q164" s="6"/>
      <c r="R164" s="6"/>
      <c r="S164" s="6"/>
      <c r="T164" s="6"/>
      <c r="U164" s="6"/>
      <c r="V164" s="6"/>
      <c r="W164" s="6"/>
      <c r="X164" s="6"/>
      <c r="Y164" s="6"/>
      <c r="Z164" s="6"/>
    </row>
    <row r="165" ht="15.0" customHeight="1">
      <c r="A165" s="181"/>
      <c r="B165" s="181"/>
      <c r="C165" s="181"/>
      <c r="D165" s="181"/>
      <c r="E165" s="181"/>
      <c r="F165" s="181"/>
      <c r="G165" s="181"/>
      <c r="H165" s="181"/>
      <c r="I165" s="181"/>
      <c r="J165" s="181"/>
      <c r="K165" s="181"/>
      <c r="L165" s="181"/>
      <c r="M165" s="6"/>
      <c r="N165" s="6"/>
      <c r="O165" s="6"/>
      <c r="P165" s="6"/>
      <c r="Q165" s="6"/>
      <c r="R165" s="6"/>
      <c r="S165" s="6"/>
      <c r="T165" s="6"/>
      <c r="U165" s="6"/>
      <c r="V165" s="6"/>
      <c r="W165" s="6"/>
      <c r="X165" s="6"/>
      <c r="Y165" s="6"/>
      <c r="Z165" s="6"/>
    </row>
    <row r="166" ht="15.0" customHeight="1">
      <c r="A166" s="181"/>
      <c r="B166" s="181"/>
      <c r="C166" s="181"/>
      <c r="D166" s="181"/>
      <c r="E166" s="181"/>
      <c r="F166" s="181"/>
      <c r="G166" s="181"/>
      <c r="H166" s="181"/>
      <c r="I166" s="181"/>
      <c r="J166" s="181"/>
      <c r="K166" s="181"/>
      <c r="L166" s="181"/>
      <c r="M166" s="6"/>
      <c r="N166" s="6"/>
      <c r="O166" s="6"/>
      <c r="P166" s="6"/>
      <c r="Q166" s="6"/>
      <c r="R166" s="6"/>
      <c r="S166" s="6"/>
      <c r="T166" s="6"/>
      <c r="U166" s="6"/>
      <c r="V166" s="6"/>
      <c r="W166" s="6"/>
      <c r="X166" s="6"/>
      <c r="Y166" s="6"/>
      <c r="Z166" s="6"/>
    </row>
    <row r="167" ht="15.0" customHeight="1">
      <c r="A167" s="181"/>
      <c r="B167" s="181"/>
      <c r="C167" s="181"/>
      <c r="D167" s="181"/>
      <c r="E167" s="181"/>
      <c r="F167" s="181"/>
      <c r="G167" s="181"/>
      <c r="H167" s="181"/>
      <c r="I167" s="181"/>
      <c r="J167" s="181"/>
      <c r="K167" s="181"/>
      <c r="L167" s="181"/>
      <c r="M167" s="6"/>
      <c r="N167" s="6"/>
      <c r="O167" s="6"/>
      <c r="P167" s="6"/>
      <c r="Q167" s="6"/>
      <c r="R167" s="6"/>
      <c r="S167" s="6"/>
      <c r="T167" s="6"/>
      <c r="U167" s="6"/>
      <c r="V167" s="6"/>
      <c r="W167" s="6"/>
      <c r="X167" s="6"/>
      <c r="Y167" s="6"/>
      <c r="Z167" s="6"/>
    </row>
    <row r="168" ht="15.0" customHeight="1">
      <c r="A168" s="181"/>
      <c r="B168" s="181"/>
      <c r="C168" s="181"/>
      <c r="D168" s="181"/>
      <c r="E168" s="181"/>
      <c r="F168" s="181"/>
      <c r="G168" s="181"/>
      <c r="H168" s="181"/>
      <c r="I168" s="181"/>
      <c r="J168" s="181"/>
      <c r="K168" s="181"/>
      <c r="L168" s="181"/>
      <c r="M168" s="6"/>
      <c r="N168" s="6"/>
      <c r="O168" s="6"/>
      <c r="P168" s="6"/>
      <c r="Q168" s="6"/>
      <c r="R168" s="6"/>
      <c r="S168" s="6"/>
      <c r="T168" s="6"/>
      <c r="U168" s="6"/>
      <c r="V168" s="6"/>
      <c r="W168" s="6"/>
      <c r="X168" s="6"/>
      <c r="Y168" s="6"/>
      <c r="Z168" s="6"/>
    </row>
    <row r="169" ht="15.0" customHeight="1">
      <c r="A169" s="181"/>
      <c r="B169" s="181"/>
      <c r="C169" s="181"/>
      <c r="D169" s="181"/>
      <c r="E169" s="181"/>
      <c r="F169" s="181"/>
      <c r="G169" s="181"/>
      <c r="H169" s="181"/>
      <c r="I169" s="181"/>
      <c r="J169" s="181"/>
      <c r="K169" s="181"/>
      <c r="L169" s="181"/>
      <c r="M169" s="6"/>
      <c r="N169" s="6"/>
      <c r="O169" s="6"/>
      <c r="P169" s="6"/>
      <c r="Q169" s="6"/>
      <c r="R169" s="6"/>
      <c r="S169" s="6"/>
      <c r="T169" s="6"/>
      <c r="U169" s="6"/>
      <c r="V169" s="6"/>
      <c r="W169" s="6"/>
      <c r="X169" s="6"/>
      <c r="Y169" s="6"/>
      <c r="Z169" s="6"/>
    </row>
    <row r="170" ht="15.0" customHeight="1">
      <c r="A170" s="181"/>
      <c r="B170" s="181"/>
      <c r="C170" s="181"/>
      <c r="D170" s="181"/>
      <c r="E170" s="181"/>
      <c r="F170" s="181"/>
      <c r="G170" s="181"/>
      <c r="H170" s="181"/>
      <c r="I170" s="181"/>
      <c r="J170" s="181"/>
      <c r="K170" s="181"/>
      <c r="L170" s="181"/>
      <c r="M170" s="6"/>
      <c r="N170" s="6"/>
      <c r="O170" s="6"/>
      <c r="P170" s="6"/>
      <c r="Q170" s="6"/>
      <c r="R170" s="6"/>
      <c r="S170" s="6"/>
      <c r="T170" s="6"/>
      <c r="U170" s="6"/>
      <c r="V170" s="6"/>
      <c r="W170" s="6"/>
      <c r="X170" s="6"/>
      <c r="Y170" s="6"/>
      <c r="Z170" s="6"/>
    </row>
    <row r="171" ht="15.0" customHeight="1">
      <c r="A171" s="181"/>
      <c r="B171" s="181"/>
      <c r="C171" s="181"/>
      <c r="D171" s="181"/>
      <c r="E171" s="181"/>
      <c r="F171" s="181"/>
      <c r="G171" s="181"/>
      <c r="H171" s="181"/>
      <c r="I171" s="181"/>
      <c r="J171" s="181"/>
      <c r="K171" s="181"/>
      <c r="L171" s="181"/>
      <c r="M171" s="6"/>
      <c r="N171" s="6"/>
      <c r="O171" s="6"/>
      <c r="P171" s="6"/>
      <c r="Q171" s="6"/>
      <c r="R171" s="6"/>
      <c r="S171" s="6"/>
      <c r="T171" s="6"/>
      <c r="U171" s="6"/>
      <c r="V171" s="6"/>
      <c r="W171" s="6"/>
      <c r="X171" s="6"/>
      <c r="Y171" s="6"/>
      <c r="Z171" s="6"/>
    </row>
    <row r="172" ht="15.0" customHeight="1">
      <c r="A172" s="181"/>
      <c r="B172" s="181"/>
      <c r="C172" s="181"/>
      <c r="D172" s="181"/>
      <c r="E172" s="181"/>
      <c r="F172" s="181"/>
      <c r="G172" s="181"/>
      <c r="H172" s="181"/>
      <c r="I172" s="181"/>
      <c r="J172" s="181"/>
      <c r="K172" s="181"/>
      <c r="L172" s="181"/>
      <c r="M172" s="6"/>
      <c r="N172" s="6"/>
      <c r="O172" s="6"/>
      <c r="P172" s="6"/>
      <c r="Q172" s="6"/>
      <c r="R172" s="6"/>
      <c r="S172" s="6"/>
      <c r="T172" s="6"/>
      <c r="U172" s="6"/>
      <c r="V172" s="6"/>
      <c r="W172" s="6"/>
      <c r="X172" s="6"/>
      <c r="Y172" s="6"/>
      <c r="Z172" s="6"/>
    </row>
    <row r="173" ht="15.0" customHeight="1">
      <c r="A173" s="181"/>
      <c r="B173" s="181"/>
      <c r="C173" s="181"/>
      <c r="D173" s="181"/>
      <c r="E173" s="181"/>
      <c r="F173" s="181"/>
      <c r="G173" s="181"/>
      <c r="H173" s="181"/>
      <c r="I173" s="181"/>
      <c r="J173" s="181"/>
      <c r="K173" s="181"/>
      <c r="L173" s="181"/>
      <c r="M173" s="6"/>
      <c r="N173" s="6"/>
      <c r="O173" s="6"/>
      <c r="P173" s="6"/>
      <c r="Q173" s="6"/>
      <c r="R173" s="6"/>
      <c r="S173" s="6"/>
      <c r="T173" s="6"/>
      <c r="U173" s="6"/>
      <c r="V173" s="6"/>
      <c r="W173" s="6"/>
      <c r="X173" s="6"/>
      <c r="Y173" s="6"/>
      <c r="Z173" s="6"/>
    </row>
    <row r="174" ht="15.0" customHeight="1">
      <c r="A174" s="181"/>
      <c r="B174" s="181"/>
      <c r="C174" s="181"/>
      <c r="D174" s="181"/>
      <c r="E174" s="181"/>
      <c r="F174" s="181"/>
      <c r="G174" s="181"/>
      <c r="H174" s="181"/>
      <c r="I174" s="181"/>
      <c r="J174" s="181"/>
      <c r="K174" s="181"/>
      <c r="L174" s="181"/>
      <c r="M174" s="6"/>
      <c r="N174" s="6"/>
      <c r="O174" s="6"/>
      <c r="P174" s="6"/>
      <c r="Q174" s="6"/>
      <c r="R174" s="6"/>
      <c r="S174" s="6"/>
      <c r="T174" s="6"/>
      <c r="U174" s="6"/>
      <c r="V174" s="6"/>
      <c r="W174" s="6"/>
      <c r="X174" s="6"/>
      <c r="Y174" s="6"/>
      <c r="Z174" s="6"/>
    </row>
    <row r="175" ht="15.0" customHeight="1">
      <c r="A175" s="181"/>
      <c r="B175" s="181"/>
      <c r="C175" s="181"/>
      <c r="D175" s="181"/>
      <c r="E175" s="181"/>
      <c r="F175" s="181"/>
      <c r="G175" s="181"/>
      <c r="H175" s="181"/>
      <c r="I175" s="181"/>
      <c r="J175" s="181"/>
      <c r="K175" s="181"/>
      <c r="L175" s="181"/>
      <c r="M175" s="6"/>
      <c r="N175" s="6"/>
      <c r="O175" s="6"/>
      <c r="P175" s="6"/>
      <c r="Q175" s="6"/>
      <c r="R175" s="6"/>
      <c r="S175" s="6"/>
      <c r="T175" s="6"/>
      <c r="U175" s="6"/>
      <c r="V175" s="6"/>
      <c r="W175" s="6"/>
      <c r="X175" s="6"/>
      <c r="Y175" s="6"/>
      <c r="Z175" s="6"/>
    </row>
    <row r="176" ht="15.0" customHeight="1">
      <c r="A176" s="181"/>
      <c r="B176" s="181"/>
      <c r="C176" s="181"/>
      <c r="D176" s="181"/>
      <c r="E176" s="181"/>
      <c r="F176" s="181"/>
      <c r="G176" s="181"/>
      <c r="H176" s="181"/>
      <c r="I176" s="181"/>
      <c r="J176" s="181"/>
      <c r="K176" s="181"/>
      <c r="L176" s="181"/>
      <c r="M176" s="6"/>
      <c r="N176" s="6"/>
      <c r="O176" s="6"/>
      <c r="P176" s="6"/>
      <c r="Q176" s="6"/>
      <c r="R176" s="6"/>
      <c r="S176" s="6"/>
      <c r="T176" s="6"/>
      <c r="U176" s="6"/>
      <c r="V176" s="6"/>
      <c r="W176" s="6"/>
      <c r="X176" s="6"/>
      <c r="Y176" s="6"/>
      <c r="Z176" s="6"/>
    </row>
    <row r="177" ht="15.0" customHeight="1">
      <c r="A177" s="181"/>
      <c r="B177" s="181"/>
      <c r="C177" s="181"/>
      <c r="D177" s="181"/>
      <c r="E177" s="181"/>
      <c r="F177" s="181"/>
      <c r="G177" s="181"/>
      <c r="H177" s="181"/>
      <c r="I177" s="181"/>
      <c r="J177" s="181"/>
      <c r="K177" s="181"/>
      <c r="L177" s="181"/>
      <c r="M177" s="6"/>
      <c r="N177" s="6"/>
      <c r="O177" s="6"/>
      <c r="P177" s="6"/>
      <c r="Q177" s="6"/>
      <c r="R177" s="6"/>
      <c r="S177" s="6"/>
      <c r="T177" s="6"/>
      <c r="U177" s="6"/>
      <c r="V177" s="6"/>
      <c r="W177" s="6"/>
      <c r="X177" s="6"/>
      <c r="Y177" s="6"/>
      <c r="Z177" s="6"/>
    </row>
    <row r="178" ht="15.0" customHeight="1">
      <c r="A178" s="181"/>
      <c r="B178" s="181"/>
      <c r="C178" s="181"/>
      <c r="D178" s="181"/>
      <c r="E178" s="181"/>
      <c r="F178" s="181"/>
      <c r="G178" s="181"/>
      <c r="H178" s="181"/>
      <c r="I178" s="181"/>
      <c r="J178" s="181"/>
      <c r="K178" s="181"/>
      <c r="L178" s="181"/>
      <c r="M178" s="6"/>
      <c r="N178" s="6"/>
      <c r="O178" s="6"/>
      <c r="P178" s="6"/>
      <c r="Q178" s="6"/>
      <c r="R178" s="6"/>
      <c r="S178" s="6"/>
      <c r="T178" s="6"/>
      <c r="U178" s="6"/>
      <c r="V178" s="6"/>
      <c r="W178" s="6"/>
      <c r="X178" s="6"/>
      <c r="Y178" s="6"/>
      <c r="Z178" s="6"/>
    </row>
    <row r="179" ht="15.0" customHeight="1">
      <c r="A179" s="181"/>
      <c r="B179" s="181"/>
      <c r="C179" s="181"/>
      <c r="D179" s="181"/>
      <c r="E179" s="181"/>
      <c r="F179" s="181"/>
      <c r="G179" s="181"/>
      <c r="H179" s="181"/>
      <c r="I179" s="181"/>
      <c r="J179" s="181"/>
      <c r="K179" s="181"/>
      <c r="L179" s="181"/>
      <c r="M179" s="6"/>
      <c r="N179" s="6"/>
      <c r="O179" s="6"/>
      <c r="P179" s="6"/>
      <c r="Q179" s="6"/>
      <c r="R179" s="6"/>
      <c r="S179" s="6"/>
      <c r="T179" s="6"/>
      <c r="U179" s="6"/>
      <c r="V179" s="6"/>
      <c r="W179" s="6"/>
      <c r="X179" s="6"/>
      <c r="Y179" s="6"/>
      <c r="Z179" s="6"/>
    </row>
    <row r="180" ht="15.0" customHeight="1">
      <c r="A180" s="181"/>
      <c r="B180" s="181"/>
      <c r="C180" s="181"/>
      <c r="D180" s="181"/>
      <c r="E180" s="181"/>
      <c r="F180" s="181"/>
      <c r="G180" s="181"/>
      <c r="H180" s="181"/>
      <c r="I180" s="181"/>
      <c r="J180" s="181"/>
      <c r="K180" s="181"/>
      <c r="L180" s="181"/>
      <c r="M180" s="6"/>
      <c r="N180" s="6"/>
      <c r="O180" s="6"/>
      <c r="P180" s="6"/>
      <c r="Q180" s="6"/>
      <c r="R180" s="6"/>
      <c r="S180" s="6"/>
      <c r="T180" s="6"/>
      <c r="U180" s="6"/>
      <c r="V180" s="6"/>
      <c r="W180" s="6"/>
      <c r="X180" s="6"/>
      <c r="Y180" s="6"/>
      <c r="Z180" s="6"/>
    </row>
    <row r="181" ht="15.0" customHeight="1">
      <c r="A181" s="181"/>
      <c r="B181" s="181"/>
      <c r="C181" s="181"/>
      <c r="D181" s="181"/>
      <c r="E181" s="181"/>
      <c r="F181" s="181"/>
      <c r="G181" s="181"/>
      <c r="H181" s="181"/>
      <c r="I181" s="181"/>
      <c r="J181" s="181"/>
      <c r="K181" s="181"/>
      <c r="L181" s="181"/>
      <c r="M181" s="6"/>
      <c r="N181" s="6"/>
      <c r="O181" s="6"/>
      <c r="P181" s="6"/>
      <c r="Q181" s="6"/>
      <c r="R181" s="6"/>
      <c r="S181" s="6"/>
      <c r="T181" s="6"/>
      <c r="U181" s="6"/>
      <c r="V181" s="6"/>
      <c r="W181" s="6"/>
      <c r="X181" s="6"/>
      <c r="Y181" s="6"/>
      <c r="Z181" s="6"/>
    </row>
    <row r="182" ht="15.0" customHeight="1">
      <c r="A182" s="181"/>
      <c r="B182" s="181"/>
      <c r="C182" s="181"/>
      <c r="D182" s="181"/>
      <c r="E182" s="181"/>
      <c r="F182" s="181"/>
      <c r="G182" s="181"/>
      <c r="H182" s="181"/>
      <c r="I182" s="181"/>
      <c r="J182" s="181"/>
      <c r="K182" s="181"/>
      <c r="L182" s="181"/>
      <c r="M182" s="6"/>
      <c r="N182" s="6"/>
      <c r="O182" s="6"/>
      <c r="P182" s="6"/>
      <c r="Q182" s="6"/>
      <c r="R182" s="6"/>
      <c r="S182" s="6"/>
      <c r="T182" s="6"/>
      <c r="U182" s="6"/>
      <c r="V182" s="6"/>
      <c r="W182" s="6"/>
      <c r="X182" s="6"/>
      <c r="Y182" s="6"/>
      <c r="Z182" s="6"/>
    </row>
    <row r="183" ht="15.0" customHeight="1">
      <c r="A183" s="181"/>
      <c r="B183" s="181"/>
      <c r="C183" s="181"/>
      <c r="D183" s="181"/>
      <c r="E183" s="181"/>
      <c r="F183" s="181"/>
      <c r="G183" s="181"/>
      <c r="H183" s="181"/>
      <c r="I183" s="181"/>
      <c r="J183" s="181"/>
      <c r="K183" s="181"/>
      <c r="L183" s="181"/>
      <c r="M183" s="6"/>
      <c r="N183" s="6"/>
      <c r="O183" s="6"/>
      <c r="P183" s="6"/>
      <c r="Q183" s="6"/>
      <c r="R183" s="6"/>
      <c r="S183" s="6"/>
      <c r="T183" s="6"/>
      <c r="U183" s="6"/>
      <c r="V183" s="6"/>
      <c r="W183" s="6"/>
      <c r="X183" s="6"/>
      <c r="Y183" s="6"/>
      <c r="Z183" s="6"/>
    </row>
    <row r="184" ht="15.0" customHeight="1">
      <c r="A184" s="181"/>
      <c r="B184" s="181"/>
      <c r="C184" s="181"/>
      <c r="D184" s="181"/>
      <c r="E184" s="181"/>
      <c r="F184" s="181"/>
      <c r="G184" s="181"/>
      <c r="H184" s="181"/>
      <c r="I184" s="181"/>
      <c r="J184" s="181"/>
      <c r="K184" s="181"/>
      <c r="L184" s="181"/>
      <c r="M184" s="6"/>
      <c r="N184" s="6"/>
      <c r="O184" s="6"/>
      <c r="P184" s="6"/>
      <c r="Q184" s="6"/>
      <c r="R184" s="6"/>
      <c r="S184" s="6"/>
      <c r="T184" s="6"/>
      <c r="U184" s="6"/>
      <c r="V184" s="6"/>
      <c r="W184" s="6"/>
      <c r="X184" s="6"/>
      <c r="Y184" s="6"/>
      <c r="Z184" s="6"/>
    </row>
    <row r="185" ht="15.0" customHeight="1">
      <c r="A185" s="181"/>
      <c r="B185" s="181"/>
      <c r="C185" s="181"/>
      <c r="D185" s="181"/>
      <c r="E185" s="181"/>
      <c r="F185" s="181"/>
      <c r="G185" s="181"/>
      <c r="H185" s="181"/>
      <c r="I185" s="181"/>
      <c r="J185" s="181"/>
      <c r="K185" s="181"/>
      <c r="L185" s="181"/>
      <c r="M185" s="6"/>
      <c r="N185" s="6"/>
      <c r="O185" s="6"/>
      <c r="P185" s="6"/>
      <c r="Q185" s="6"/>
      <c r="R185" s="6"/>
      <c r="S185" s="6"/>
      <c r="T185" s="6"/>
      <c r="U185" s="6"/>
      <c r="V185" s="6"/>
      <c r="W185" s="6"/>
      <c r="X185" s="6"/>
      <c r="Y185" s="6"/>
      <c r="Z185" s="6"/>
    </row>
    <row r="186" ht="15.0" customHeight="1">
      <c r="A186" s="181"/>
      <c r="B186" s="181"/>
      <c r="C186" s="181"/>
      <c r="D186" s="181"/>
      <c r="E186" s="181"/>
      <c r="F186" s="181"/>
      <c r="G186" s="181"/>
      <c r="H186" s="181"/>
      <c r="I186" s="181"/>
      <c r="J186" s="181"/>
      <c r="K186" s="181"/>
      <c r="L186" s="181"/>
      <c r="M186" s="6"/>
      <c r="N186" s="6"/>
      <c r="O186" s="6"/>
      <c r="P186" s="6"/>
      <c r="Q186" s="6"/>
      <c r="R186" s="6"/>
      <c r="S186" s="6"/>
      <c r="T186" s="6"/>
      <c r="U186" s="6"/>
      <c r="V186" s="6"/>
      <c r="W186" s="6"/>
      <c r="X186" s="6"/>
      <c r="Y186" s="6"/>
      <c r="Z186" s="6"/>
    </row>
    <row r="187" ht="15.0" customHeight="1">
      <c r="A187" s="181"/>
      <c r="B187" s="181"/>
      <c r="C187" s="181"/>
      <c r="D187" s="181"/>
      <c r="E187" s="181"/>
      <c r="F187" s="181"/>
      <c r="G187" s="181"/>
      <c r="H187" s="181"/>
      <c r="I187" s="181"/>
      <c r="J187" s="181"/>
      <c r="K187" s="181"/>
      <c r="L187" s="181"/>
      <c r="M187" s="6"/>
      <c r="N187" s="6"/>
      <c r="O187" s="6"/>
      <c r="P187" s="6"/>
      <c r="Q187" s="6"/>
      <c r="R187" s="6"/>
      <c r="S187" s="6"/>
      <c r="T187" s="6"/>
      <c r="U187" s="6"/>
      <c r="V187" s="6"/>
      <c r="W187" s="6"/>
      <c r="X187" s="6"/>
      <c r="Y187" s="6"/>
      <c r="Z187" s="6"/>
    </row>
    <row r="188" ht="15.0" customHeight="1">
      <c r="A188" s="181"/>
      <c r="B188" s="181"/>
      <c r="C188" s="181"/>
      <c r="D188" s="181"/>
      <c r="E188" s="181"/>
      <c r="F188" s="181"/>
      <c r="G188" s="181"/>
      <c r="H188" s="181"/>
      <c r="I188" s="181"/>
      <c r="J188" s="181"/>
      <c r="K188" s="181"/>
      <c r="L188" s="181"/>
      <c r="M188" s="6"/>
      <c r="N188" s="6"/>
      <c r="O188" s="6"/>
      <c r="P188" s="6"/>
      <c r="Q188" s="6"/>
      <c r="R188" s="6"/>
      <c r="S188" s="6"/>
      <c r="T188" s="6"/>
      <c r="U188" s="6"/>
      <c r="V188" s="6"/>
      <c r="W188" s="6"/>
      <c r="X188" s="6"/>
      <c r="Y188" s="6"/>
      <c r="Z188" s="6"/>
    </row>
    <row r="189" ht="15.0" customHeight="1">
      <c r="A189" s="181"/>
      <c r="B189" s="181"/>
      <c r="C189" s="181"/>
      <c r="D189" s="181"/>
      <c r="E189" s="181"/>
      <c r="F189" s="181"/>
      <c r="G189" s="181"/>
      <c r="H189" s="181"/>
      <c r="I189" s="181"/>
      <c r="J189" s="181"/>
      <c r="K189" s="181"/>
      <c r="L189" s="181"/>
      <c r="M189" s="6"/>
      <c r="N189" s="6"/>
      <c r="O189" s="6"/>
      <c r="P189" s="6"/>
      <c r="Q189" s="6"/>
      <c r="R189" s="6"/>
      <c r="S189" s="6"/>
      <c r="T189" s="6"/>
      <c r="U189" s="6"/>
      <c r="V189" s="6"/>
      <c r="W189" s="6"/>
      <c r="X189" s="6"/>
      <c r="Y189" s="6"/>
      <c r="Z189" s="6"/>
    </row>
    <row r="190" ht="15.0" customHeight="1">
      <c r="A190" s="181"/>
      <c r="B190" s="181"/>
      <c r="C190" s="181"/>
      <c r="D190" s="181"/>
      <c r="E190" s="181"/>
      <c r="F190" s="181"/>
      <c r="G190" s="181"/>
      <c r="H190" s="181"/>
      <c r="I190" s="181"/>
      <c r="J190" s="181"/>
      <c r="K190" s="181"/>
      <c r="L190" s="181"/>
      <c r="M190" s="6"/>
      <c r="N190" s="6"/>
      <c r="O190" s="6"/>
      <c r="P190" s="6"/>
      <c r="Q190" s="6"/>
      <c r="R190" s="6"/>
      <c r="S190" s="6"/>
      <c r="T190" s="6"/>
      <c r="U190" s="6"/>
      <c r="V190" s="6"/>
      <c r="W190" s="6"/>
      <c r="X190" s="6"/>
      <c r="Y190" s="6"/>
      <c r="Z190" s="6"/>
    </row>
    <row r="191" ht="15.0" customHeight="1">
      <c r="A191" s="181"/>
      <c r="B191" s="181"/>
      <c r="C191" s="181"/>
      <c r="D191" s="181"/>
      <c r="E191" s="181"/>
      <c r="F191" s="181"/>
      <c r="G191" s="181"/>
      <c r="H191" s="181"/>
      <c r="I191" s="181"/>
      <c r="J191" s="181"/>
      <c r="K191" s="181"/>
      <c r="L191" s="181"/>
      <c r="M191" s="6"/>
      <c r="N191" s="6"/>
      <c r="O191" s="6"/>
      <c r="P191" s="6"/>
      <c r="Q191" s="6"/>
      <c r="R191" s="6"/>
      <c r="S191" s="6"/>
      <c r="T191" s="6"/>
      <c r="U191" s="6"/>
      <c r="V191" s="6"/>
      <c r="W191" s="6"/>
      <c r="X191" s="6"/>
      <c r="Y191" s="6"/>
      <c r="Z191" s="6"/>
    </row>
    <row r="192" ht="15.0" customHeight="1">
      <c r="A192" s="181"/>
      <c r="B192" s="181"/>
      <c r="C192" s="181"/>
      <c r="D192" s="181"/>
      <c r="E192" s="181"/>
      <c r="F192" s="181"/>
      <c r="G192" s="181"/>
      <c r="H192" s="181"/>
      <c r="I192" s="181"/>
      <c r="J192" s="181"/>
      <c r="K192" s="181"/>
      <c r="L192" s="181"/>
      <c r="M192" s="6"/>
      <c r="N192" s="6"/>
      <c r="O192" s="6"/>
      <c r="P192" s="6"/>
      <c r="Q192" s="6"/>
      <c r="R192" s="6"/>
      <c r="S192" s="6"/>
      <c r="T192" s="6"/>
      <c r="U192" s="6"/>
      <c r="V192" s="6"/>
      <c r="W192" s="6"/>
      <c r="X192" s="6"/>
      <c r="Y192" s="6"/>
      <c r="Z192" s="6"/>
    </row>
    <row r="193" ht="15.0" customHeight="1">
      <c r="A193" s="181"/>
      <c r="B193" s="181"/>
      <c r="C193" s="181"/>
      <c r="D193" s="181"/>
      <c r="E193" s="181"/>
      <c r="F193" s="181"/>
      <c r="G193" s="181"/>
      <c r="H193" s="181"/>
      <c r="I193" s="181"/>
      <c r="J193" s="181"/>
      <c r="K193" s="181"/>
      <c r="L193" s="181"/>
      <c r="M193" s="6"/>
      <c r="N193" s="6"/>
      <c r="O193" s="6"/>
      <c r="P193" s="6"/>
      <c r="Q193" s="6"/>
      <c r="R193" s="6"/>
      <c r="S193" s="6"/>
      <c r="T193" s="6"/>
      <c r="U193" s="6"/>
      <c r="V193" s="6"/>
      <c r="W193" s="6"/>
      <c r="X193" s="6"/>
      <c r="Y193" s="6"/>
      <c r="Z193" s="6"/>
    </row>
    <row r="194" ht="15.0" customHeight="1">
      <c r="A194" s="181"/>
      <c r="B194" s="181"/>
      <c r="C194" s="181"/>
      <c r="D194" s="181"/>
      <c r="E194" s="181"/>
      <c r="F194" s="181"/>
      <c r="G194" s="181"/>
      <c r="H194" s="181"/>
      <c r="I194" s="181"/>
      <c r="J194" s="181"/>
      <c r="K194" s="181"/>
      <c r="L194" s="181"/>
      <c r="M194" s="6"/>
      <c r="N194" s="6"/>
      <c r="O194" s="6"/>
      <c r="P194" s="6"/>
      <c r="Q194" s="6"/>
      <c r="R194" s="6"/>
      <c r="S194" s="6"/>
      <c r="T194" s="6"/>
      <c r="U194" s="6"/>
      <c r="V194" s="6"/>
      <c r="W194" s="6"/>
      <c r="X194" s="6"/>
      <c r="Y194" s="6"/>
      <c r="Z194" s="6"/>
    </row>
    <row r="195" ht="15.0" customHeight="1">
      <c r="A195" s="181"/>
      <c r="B195" s="181"/>
      <c r="C195" s="181"/>
      <c r="D195" s="181"/>
      <c r="E195" s="181"/>
      <c r="F195" s="181"/>
      <c r="G195" s="181"/>
      <c r="H195" s="181"/>
      <c r="I195" s="181"/>
      <c r="J195" s="181"/>
      <c r="K195" s="181"/>
      <c r="L195" s="181"/>
      <c r="M195" s="6"/>
      <c r="N195" s="6"/>
      <c r="O195" s="6"/>
      <c r="P195" s="6"/>
      <c r="Q195" s="6"/>
      <c r="R195" s="6"/>
      <c r="S195" s="6"/>
      <c r="T195" s="6"/>
      <c r="U195" s="6"/>
      <c r="V195" s="6"/>
      <c r="W195" s="6"/>
      <c r="X195" s="6"/>
      <c r="Y195" s="6"/>
      <c r="Z195" s="6"/>
    </row>
    <row r="196" ht="15.0" customHeight="1">
      <c r="A196" s="181"/>
      <c r="B196" s="181"/>
      <c r="C196" s="181"/>
      <c r="D196" s="181"/>
      <c r="E196" s="181"/>
      <c r="F196" s="181"/>
      <c r="G196" s="181"/>
      <c r="H196" s="181"/>
      <c r="I196" s="181"/>
      <c r="J196" s="181"/>
      <c r="K196" s="181"/>
      <c r="L196" s="181"/>
      <c r="M196" s="6"/>
      <c r="N196" s="6"/>
      <c r="O196" s="6"/>
      <c r="P196" s="6"/>
      <c r="Q196" s="6"/>
      <c r="R196" s="6"/>
      <c r="S196" s="6"/>
      <c r="T196" s="6"/>
      <c r="U196" s="6"/>
      <c r="V196" s="6"/>
      <c r="W196" s="6"/>
      <c r="X196" s="6"/>
      <c r="Y196" s="6"/>
      <c r="Z196" s="6"/>
    </row>
    <row r="197" ht="15.0" customHeight="1">
      <c r="A197" s="181"/>
      <c r="B197" s="181"/>
      <c r="C197" s="181"/>
      <c r="D197" s="181"/>
      <c r="E197" s="181"/>
      <c r="F197" s="181"/>
      <c r="G197" s="181"/>
      <c r="H197" s="181"/>
      <c r="I197" s="181"/>
      <c r="J197" s="181"/>
      <c r="K197" s="181"/>
      <c r="L197" s="181"/>
      <c r="M197" s="6"/>
      <c r="N197" s="6"/>
      <c r="O197" s="6"/>
      <c r="P197" s="6"/>
      <c r="Q197" s="6"/>
      <c r="R197" s="6"/>
      <c r="S197" s="6"/>
      <c r="T197" s="6"/>
      <c r="U197" s="6"/>
      <c r="V197" s="6"/>
      <c r="W197" s="6"/>
      <c r="X197" s="6"/>
      <c r="Y197" s="6"/>
      <c r="Z197" s="6"/>
    </row>
    <row r="198" ht="15.0" customHeight="1">
      <c r="A198" s="181"/>
      <c r="B198" s="181"/>
      <c r="C198" s="181"/>
      <c r="D198" s="181"/>
      <c r="E198" s="181"/>
      <c r="F198" s="181"/>
      <c r="G198" s="181"/>
      <c r="H198" s="181"/>
      <c r="I198" s="181"/>
      <c r="J198" s="181"/>
      <c r="K198" s="181"/>
      <c r="L198" s="181"/>
      <c r="M198" s="6"/>
      <c r="N198" s="6"/>
      <c r="O198" s="6"/>
      <c r="P198" s="6"/>
      <c r="Q198" s="6"/>
      <c r="R198" s="6"/>
      <c r="S198" s="6"/>
      <c r="T198" s="6"/>
      <c r="U198" s="6"/>
      <c r="V198" s="6"/>
      <c r="W198" s="6"/>
      <c r="X198" s="6"/>
      <c r="Y198" s="6"/>
      <c r="Z198" s="6"/>
    </row>
    <row r="199" ht="15.0" customHeight="1">
      <c r="A199" s="181"/>
      <c r="B199" s="181"/>
      <c r="C199" s="181"/>
      <c r="D199" s="181"/>
      <c r="E199" s="181"/>
      <c r="F199" s="181"/>
      <c r="G199" s="181"/>
      <c r="H199" s="181"/>
      <c r="I199" s="181"/>
      <c r="J199" s="181"/>
      <c r="K199" s="181"/>
      <c r="L199" s="181"/>
      <c r="M199" s="6"/>
      <c r="N199" s="6"/>
      <c r="O199" s="6"/>
      <c r="P199" s="6"/>
      <c r="Q199" s="6"/>
      <c r="R199" s="6"/>
      <c r="S199" s="6"/>
      <c r="T199" s="6"/>
      <c r="U199" s="6"/>
      <c r="V199" s="6"/>
      <c r="W199" s="6"/>
      <c r="X199" s="6"/>
      <c r="Y199" s="6"/>
      <c r="Z199" s="6"/>
    </row>
    <row r="200" ht="15.0" customHeight="1">
      <c r="A200" s="181"/>
      <c r="B200" s="181"/>
      <c r="C200" s="181"/>
      <c r="D200" s="181"/>
      <c r="E200" s="181"/>
      <c r="F200" s="181"/>
      <c r="G200" s="181"/>
      <c r="H200" s="181"/>
      <c r="I200" s="181"/>
      <c r="J200" s="181"/>
      <c r="K200" s="181"/>
      <c r="L200" s="181"/>
      <c r="M200" s="6"/>
      <c r="N200" s="6"/>
      <c r="O200" s="6"/>
      <c r="P200" s="6"/>
      <c r="Q200" s="6"/>
      <c r="R200" s="6"/>
      <c r="S200" s="6"/>
      <c r="T200" s="6"/>
      <c r="U200" s="6"/>
      <c r="V200" s="6"/>
      <c r="W200" s="6"/>
      <c r="X200" s="6"/>
      <c r="Y200" s="6"/>
      <c r="Z200" s="6"/>
    </row>
    <row r="201" ht="15.0" customHeight="1">
      <c r="A201" s="181"/>
      <c r="B201" s="181"/>
      <c r="C201" s="181"/>
      <c r="D201" s="181"/>
      <c r="E201" s="181"/>
      <c r="F201" s="181"/>
      <c r="G201" s="181"/>
      <c r="H201" s="181"/>
      <c r="I201" s="181"/>
      <c r="J201" s="181"/>
      <c r="K201" s="181"/>
      <c r="L201" s="181"/>
      <c r="M201" s="6"/>
      <c r="N201" s="6"/>
      <c r="O201" s="6"/>
      <c r="P201" s="6"/>
      <c r="Q201" s="6"/>
      <c r="R201" s="6"/>
      <c r="S201" s="6"/>
      <c r="T201" s="6"/>
      <c r="U201" s="6"/>
      <c r="V201" s="6"/>
      <c r="W201" s="6"/>
      <c r="X201" s="6"/>
      <c r="Y201" s="6"/>
      <c r="Z201" s="6"/>
    </row>
    <row r="202" ht="15.0" customHeight="1">
      <c r="A202" s="181"/>
      <c r="B202" s="181"/>
      <c r="C202" s="181"/>
      <c r="D202" s="181"/>
      <c r="E202" s="181"/>
      <c r="F202" s="181"/>
      <c r="G202" s="181"/>
      <c r="H202" s="181"/>
      <c r="I202" s="181"/>
      <c r="J202" s="181"/>
      <c r="K202" s="181"/>
      <c r="L202" s="181"/>
      <c r="M202" s="6"/>
      <c r="N202" s="6"/>
      <c r="O202" s="6"/>
      <c r="P202" s="6"/>
      <c r="Q202" s="6"/>
      <c r="R202" s="6"/>
      <c r="S202" s="6"/>
      <c r="T202" s="6"/>
      <c r="U202" s="6"/>
      <c r="V202" s="6"/>
      <c r="W202" s="6"/>
      <c r="X202" s="6"/>
      <c r="Y202" s="6"/>
      <c r="Z202" s="6"/>
    </row>
    <row r="203" ht="15.0" customHeight="1">
      <c r="A203" s="181"/>
      <c r="B203" s="181"/>
      <c r="C203" s="181"/>
      <c r="D203" s="181"/>
      <c r="E203" s="181"/>
      <c r="F203" s="181"/>
      <c r="G203" s="181"/>
      <c r="H203" s="181"/>
      <c r="I203" s="181"/>
      <c r="J203" s="181"/>
      <c r="K203" s="181"/>
      <c r="L203" s="181"/>
      <c r="M203" s="6"/>
      <c r="N203" s="6"/>
      <c r="O203" s="6"/>
      <c r="P203" s="6"/>
      <c r="Q203" s="6"/>
      <c r="R203" s="6"/>
      <c r="S203" s="6"/>
      <c r="T203" s="6"/>
      <c r="U203" s="6"/>
      <c r="V203" s="6"/>
      <c r="W203" s="6"/>
      <c r="X203" s="6"/>
      <c r="Y203" s="6"/>
      <c r="Z203" s="6"/>
    </row>
    <row r="204" ht="15.0" customHeight="1">
      <c r="A204" s="181"/>
      <c r="B204" s="181"/>
      <c r="C204" s="181"/>
      <c r="D204" s="181"/>
      <c r="E204" s="181"/>
      <c r="F204" s="181"/>
      <c r="G204" s="181"/>
      <c r="H204" s="181"/>
      <c r="I204" s="181"/>
      <c r="J204" s="181"/>
      <c r="K204" s="181"/>
      <c r="L204" s="181"/>
      <c r="M204" s="6"/>
      <c r="N204" s="6"/>
      <c r="O204" s="6"/>
      <c r="P204" s="6"/>
      <c r="Q204" s="6"/>
      <c r="R204" s="6"/>
      <c r="S204" s="6"/>
      <c r="T204" s="6"/>
      <c r="U204" s="6"/>
      <c r="V204" s="6"/>
      <c r="W204" s="6"/>
      <c r="X204" s="6"/>
      <c r="Y204" s="6"/>
      <c r="Z204" s="6"/>
    </row>
    <row r="205" ht="15.0" customHeight="1">
      <c r="A205" s="181"/>
      <c r="B205" s="181"/>
      <c r="C205" s="181"/>
      <c r="D205" s="181"/>
      <c r="E205" s="181"/>
      <c r="F205" s="181"/>
      <c r="G205" s="181"/>
      <c r="H205" s="181"/>
      <c r="I205" s="181"/>
      <c r="J205" s="181"/>
      <c r="K205" s="181"/>
      <c r="L205" s="181"/>
      <c r="M205" s="6"/>
      <c r="N205" s="6"/>
      <c r="O205" s="6"/>
      <c r="P205" s="6"/>
      <c r="Q205" s="6"/>
      <c r="R205" s="6"/>
      <c r="S205" s="6"/>
      <c r="T205" s="6"/>
      <c r="U205" s="6"/>
      <c r="V205" s="6"/>
      <c r="W205" s="6"/>
      <c r="X205" s="6"/>
      <c r="Y205" s="6"/>
      <c r="Z205" s="6"/>
    </row>
    <row r="206" ht="15.0" customHeight="1">
      <c r="A206" s="181"/>
      <c r="B206" s="181"/>
      <c r="C206" s="181"/>
      <c r="D206" s="181"/>
      <c r="E206" s="181"/>
      <c r="F206" s="181"/>
      <c r="G206" s="181"/>
      <c r="H206" s="181"/>
      <c r="I206" s="181"/>
      <c r="J206" s="181"/>
      <c r="K206" s="181"/>
      <c r="L206" s="181"/>
      <c r="M206" s="6"/>
      <c r="N206" s="6"/>
      <c r="O206" s="6"/>
      <c r="P206" s="6"/>
      <c r="Q206" s="6"/>
      <c r="R206" s="6"/>
      <c r="S206" s="6"/>
      <c r="T206" s="6"/>
      <c r="U206" s="6"/>
      <c r="V206" s="6"/>
      <c r="W206" s="6"/>
      <c r="X206" s="6"/>
      <c r="Y206" s="6"/>
      <c r="Z206" s="6"/>
    </row>
    <row r="207" ht="15.0" customHeight="1">
      <c r="A207" s="181"/>
      <c r="B207" s="181"/>
      <c r="C207" s="181"/>
      <c r="D207" s="181"/>
      <c r="E207" s="181"/>
      <c r="F207" s="181"/>
      <c r="G207" s="181"/>
      <c r="H207" s="181"/>
      <c r="I207" s="181"/>
      <c r="J207" s="181"/>
      <c r="K207" s="181"/>
      <c r="L207" s="181"/>
      <c r="M207" s="6"/>
      <c r="N207" s="6"/>
      <c r="O207" s="6"/>
      <c r="P207" s="6"/>
      <c r="Q207" s="6"/>
      <c r="R207" s="6"/>
      <c r="S207" s="6"/>
      <c r="T207" s="6"/>
      <c r="U207" s="6"/>
      <c r="V207" s="6"/>
      <c r="W207" s="6"/>
      <c r="X207" s="6"/>
      <c r="Y207" s="6"/>
      <c r="Z207" s="6"/>
    </row>
    <row r="208" ht="15.0" customHeight="1">
      <c r="A208" s="181"/>
      <c r="B208" s="181"/>
      <c r="C208" s="181"/>
      <c r="D208" s="181"/>
      <c r="E208" s="181"/>
      <c r="F208" s="181"/>
      <c r="G208" s="181"/>
      <c r="H208" s="181"/>
      <c r="I208" s="181"/>
      <c r="J208" s="181"/>
      <c r="K208" s="181"/>
      <c r="L208" s="181"/>
      <c r="M208" s="6"/>
      <c r="N208" s="6"/>
      <c r="O208" s="6"/>
      <c r="P208" s="6"/>
      <c r="Q208" s="6"/>
      <c r="R208" s="6"/>
      <c r="S208" s="6"/>
      <c r="T208" s="6"/>
      <c r="U208" s="6"/>
      <c r="V208" s="6"/>
      <c r="W208" s="6"/>
      <c r="X208" s="6"/>
      <c r="Y208" s="6"/>
      <c r="Z208" s="6"/>
    </row>
    <row r="209" ht="15.0" customHeight="1">
      <c r="A209" s="181"/>
      <c r="B209" s="181"/>
      <c r="C209" s="181"/>
      <c r="D209" s="181"/>
      <c r="E209" s="181"/>
      <c r="F209" s="181"/>
      <c r="G209" s="181"/>
      <c r="H209" s="181"/>
      <c r="I209" s="181"/>
      <c r="J209" s="181"/>
      <c r="K209" s="181"/>
      <c r="L209" s="181"/>
      <c r="M209" s="6"/>
      <c r="N209" s="6"/>
      <c r="O209" s="6"/>
      <c r="P209" s="6"/>
      <c r="Q209" s="6"/>
      <c r="R209" s="6"/>
      <c r="S209" s="6"/>
      <c r="T209" s="6"/>
      <c r="U209" s="6"/>
      <c r="V209" s="6"/>
      <c r="W209" s="6"/>
      <c r="X209" s="6"/>
      <c r="Y209" s="6"/>
      <c r="Z209" s="6"/>
    </row>
    <row r="210" ht="15.0" customHeight="1">
      <c r="A210" s="181"/>
      <c r="B210" s="181"/>
      <c r="C210" s="181"/>
      <c r="D210" s="181"/>
      <c r="E210" s="181"/>
      <c r="F210" s="181"/>
      <c r="G210" s="181"/>
      <c r="H210" s="181"/>
      <c r="I210" s="181"/>
      <c r="J210" s="181"/>
      <c r="K210" s="181"/>
      <c r="L210" s="181"/>
      <c r="M210" s="6"/>
      <c r="N210" s="6"/>
      <c r="O210" s="6"/>
      <c r="P210" s="6"/>
      <c r="Q210" s="6"/>
      <c r="R210" s="6"/>
      <c r="S210" s="6"/>
      <c r="T210" s="6"/>
      <c r="U210" s="6"/>
      <c r="V210" s="6"/>
      <c r="W210" s="6"/>
      <c r="X210" s="6"/>
      <c r="Y210" s="6"/>
      <c r="Z210" s="6"/>
    </row>
    <row r="211" ht="15.0" customHeight="1">
      <c r="A211" s="181"/>
      <c r="B211" s="181"/>
      <c r="C211" s="181"/>
      <c r="D211" s="181"/>
      <c r="E211" s="181"/>
      <c r="F211" s="181"/>
      <c r="G211" s="181"/>
      <c r="H211" s="181"/>
      <c r="I211" s="181"/>
      <c r="J211" s="181"/>
      <c r="K211" s="181"/>
      <c r="L211" s="181"/>
      <c r="M211" s="6"/>
      <c r="N211" s="6"/>
      <c r="O211" s="6"/>
      <c r="P211" s="6"/>
      <c r="Q211" s="6"/>
      <c r="R211" s="6"/>
      <c r="S211" s="6"/>
      <c r="T211" s="6"/>
      <c r="U211" s="6"/>
      <c r="V211" s="6"/>
      <c r="W211" s="6"/>
      <c r="X211" s="6"/>
      <c r="Y211" s="6"/>
      <c r="Z211" s="6"/>
    </row>
    <row r="212" ht="15.0" customHeight="1">
      <c r="A212" s="181"/>
      <c r="B212" s="181"/>
      <c r="C212" s="181"/>
      <c r="D212" s="181"/>
      <c r="E212" s="181"/>
      <c r="F212" s="181"/>
      <c r="G212" s="181"/>
      <c r="H212" s="181"/>
      <c r="I212" s="181"/>
      <c r="J212" s="181"/>
      <c r="K212" s="181"/>
      <c r="L212" s="181"/>
      <c r="M212" s="6"/>
      <c r="N212" s="6"/>
      <c r="O212" s="6"/>
      <c r="P212" s="6"/>
      <c r="Q212" s="6"/>
      <c r="R212" s="6"/>
      <c r="S212" s="6"/>
      <c r="T212" s="6"/>
      <c r="U212" s="6"/>
      <c r="V212" s="6"/>
      <c r="W212" s="6"/>
      <c r="X212" s="6"/>
      <c r="Y212" s="6"/>
      <c r="Z212" s="6"/>
    </row>
    <row r="213" ht="15.0" customHeight="1">
      <c r="A213" s="181"/>
      <c r="B213" s="181"/>
      <c r="C213" s="181"/>
      <c r="D213" s="181"/>
      <c r="E213" s="181"/>
      <c r="F213" s="181"/>
      <c r="G213" s="181"/>
      <c r="H213" s="181"/>
      <c r="I213" s="181"/>
      <c r="J213" s="181"/>
      <c r="K213" s="181"/>
      <c r="L213" s="181"/>
      <c r="M213" s="6"/>
      <c r="N213" s="6"/>
      <c r="O213" s="6"/>
      <c r="P213" s="6"/>
      <c r="Q213" s="6"/>
      <c r="R213" s="6"/>
      <c r="S213" s="6"/>
      <c r="T213" s="6"/>
      <c r="U213" s="6"/>
      <c r="V213" s="6"/>
      <c r="W213" s="6"/>
      <c r="X213" s="6"/>
      <c r="Y213" s="6"/>
      <c r="Z213" s="6"/>
    </row>
    <row r="214" ht="15.0" customHeight="1">
      <c r="A214" s="181"/>
      <c r="B214" s="181"/>
      <c r="C214" s="181"/>
      <c r="D214" s="181"/>
      <c r="E214" s="181"/>
      <c r="F214" s="181"/>
      <c r="G214" s="181"/>
      <c r="H214" s="181"/>
      <c r="I214" s="181"/>
      <c r="J214" s="181"/>
      <c r="K214" s="181"/>
      <c r="L214" s="181"/>
      <c r="M214" s="6"/>
      <c r="N214" s="6"/>
      <c r="O214" s="6"/>
      <c r="P214" s="6"/>
      <c r="Q214" s="6"/>
      <c r="R214" s="6"/>
      <c r="S214" s="6"/>
      <c r="T214" s="6"/>
      <c r="U214" s="6"/>
      <c r="V214" s="6"/>
      <c r="W214" s="6"/>
      <c r="X214" s="6"/>
      <c r="Y214" s="6"/>
      <c r="Z214" s="6"/>
    </row>
    <row r="215" ht="15.0" customHeight="1">
      <c r="A215" s="181"/>
      <c r="B215" s="181"/>
      <c r="C215" s="181"/>
      <c r="D215" s="181"/>
      <c r="E215" s="181"/>
      <c r="F215" s="181"/>
      <c r="G215" s="181"/>
      <c r="H215" s="181"/>
      <c r="I215" s="181"/>
      <c r="J215" s="181"/>
      <c r="K215" s="181"/>
      <c r="L215" s="181"/>
      <c r="M215" s="6"/>
      <c r="N215" s="6"/>
      <c r="O215" s="6"/>
      <c r="P215" s="6"/>
      <c r="Q215" s="6"/>
      <c r="R215" s="6"/>
      <c r="S215" s="6"/>
      <c r="T215" s="6"/>
      <c r="U215" s="6"/>
      <c r="V215" s="6"/>
      <c r="W215" s="6"/>
      <c r="X215" s="6"/>
      <c r="Y215" s="6"/>
      <c r="Z215" s="6"/>
    </row>
    <row r="216" ht="15.0" customHeight="1">
      <c r="A216" s="181"/>
      <c r="B216" s="181"/>
      <c r="C216" s="181"/>
      <c r="D216" s="181"/>
      <c r="E216" s="181"/>
      <c r="F216" s="181"/>
      <c r="G216" s="181"/>
      <c r="H216" s="181"/>
      <c r="I216" s="181"/>
      <c r="J216" s="181"/>
      <c r="K216" s="181"/>
      <c r="L216" s="181"/>
      <c r="M216" s="6"/>
      <c r="N216" s="6"/>
      <c r="O216" s="6"/>
      <c r="P216" s="6"/>
      <c r="Q216" s="6"/>
      <c r="R216" s="6"/>
      <c r="S216" s="6"/>
      <c r="T216" s="6"/>
      <c r="U216" s="6"/>
      <c r="V216" s="6"/>
      <c r="W216" s="6"/>
      <c r="X216" s="6"/>
      <c r="Y216" s="6"/>
      <c r="Z216" s="6"/>
    </row>
    <row r="217" ht="15.0" customHeight="1">
      <c r="A217" s="181"/>
      <c r="B217" s="181"/>
      <c r="C217" s="181"/>
      <c r="D217" s="181"/>
      <c r="E217" s="181"/>
      <c r="F217" s="181"/>
      <c r="G217" s="181"/>
      <c r="H217" s="181"/>
      <c r="I217" s="181"/>
      <c r="J217" s="181"/>
      <c r="K217" s="181"/>
      <c r="L217" s="181"/>
      <c r="M217" s="6"/>
      <c r="N217" s="6"/>
      <c r="O217" s="6"/>
      <c r="P217" s="6"/>
      <c r="Q217" s="6"/>
      <c r="R217" s="6"/>
      <c r="S217" s="6"/>
      <c r="T217" s="6"/>
      <c r="U217" s="6"/>
      <c r="V217" s="6"/>
      <c r="W217" s="6"/>
      <c r="X217" s="6"/>
      <c r="Y217" s="6"/>
      <c r="Z217" s="6"/>
    </row>
    <row r="218" ht="15.0" customHeight="1">
      <c r="A218" s="181"/>
      <c r="B218" s="181"/>
      <c r="C218" s="181"/>
      <c r="D218" s="181"/>
      <c r="E218" s="181"/>
      <c r="F218" s="181"/>
      <c r="G218" s="181"/>
      <c r="H218" s="181"/>
      <c r="I218" s="181"/>
      <c r="J218" s="181"/>
      <c r="K218" s="181"/>
      <c r="L218" s="181"/>
      <c r="M218" s="6"/>
      <c r="N218" s="6"/>
      <c r="O218" s="6"/>
      <c r="P218" s="6"/>
      <c r="Q218" s="6"/>
      <c r="R218" s="6"/>
      <c r="S218" s="6"/>
      <c r="T218" s="6"/>
      <c r="U218" s="6"/>
      <c r="V218" s="6"/>
      <c r="W218" s="6"/>
      <c r="X218" s="6"/>
      <c r="Y218" s="6"/>
      <c r="Z218" s="6"/>
    </row>
    <row r="219" ht="15.0" customHeight="1">
      <c r="A219" s="181"/>
      <c r="B219" s="181"/>
      <c r="C219" s="181"/>
      <c r="D219" s="181"/>
      <c r="E219" s="181"/>
      <c r="F219" s="181"/>
      <c r="G219" s="181"/>
      <c r="H219" s="181"/>
      <c r="I219" s="181"/>
      <c r="J219" s="181"/>
      <c r="K219" s="181"/>
      <c r="L219" s="181"/>
      <c r="M219" s="6"/>
      <c r="N219" s="6"/>
      <c r="O219" s="6"/>
      <c r="P219" s="6"/>
      <c r="Q219" s="6"/>
      <c r="R219" s="6"/>
      <c r="S219" s="6"/>
      <c r="T219" s="6"/>
      <c r="U219" s="6"/>
      <c r="V219" s="6"/>
      <c r="W219" s="6"/>
      <c r="X219" s="6"/>
      <c r="Y219" s="6"/>
      <c r="Z219" s="6"/>
    </row>
    <row r="220" ht="15.0" customHeight="1">
      <c r="A220" s="181"/>
      <c r="B220" s="181"/>
      <c r="C220" s="181"/>
      <c r="D220" s="181"/>
      <c r="E220" s="181"/>
      <c r="F220" s="181"/>
      <c r="G220" s="181"/>
      <c r="H220" s="181"/>
      <c r="I220" s="181"/>
      <c r="J220" s="181"/>
      <c r="K220" s="181"/>
      <c r="L220" s="181"/>
      <c r="M220" s="6"/>
      <c r="N220" s="6"/>
      <c r="O220" s="6"/>
      <c r="P220" s="6"/>
      <c r="Q220" s="6"/>
      <c r="R220" s="6"/>
      <c r="S220" s="6"/>
      <c r="T220" s="6"/>
      <c r="U220" s="6"/>
      <c r="V220" s="6"/>
      <c r="W220" s="6"/>
      <c r="X220" s="6"/>
      <c r="Y220" s="6"/>
      <c r="Z220" s="6"/>
    </row>
    <row r="221" ht="15.0" customHeight="1">
      <c r="A221" s="181"/>
      <c r="B221" s="181"/>
      <c r="C221" s="181"/>
      <c r="D221" s="181"/>
      <c r="E221" s="181"/>
      <c r="F221" s="181"/>
      <c r="G221" s="181"/>
      <c r="H221" s="181"/>
      <c r="I221" s="181"/>
      <c r="J221" s="181"/>
      <c r="K221" s="181"/>
      <c r="L221" s="181"/>
      <c r="M221" s="6"/>
      <c r="N221" s="6"/>
      <c r="O221" s="6"/>
      <c r="P221" s="6"/>
      <c r="Q221" s="6"/>
      <c r="R221" s="6"/>
      <c r="S221" s="6"/>
      <c r="T221" s="6"/>
      <c r="U221" s="6"/>
      <c r="V221" s="6"/>
      <c r="W221" s="6"/>
      <c r="X221" s="6"/>
      <c r="Y221" s="6"/>
      <c r="Z221" s="6"/>
    </row>
    <row r="222" ht="15.0" customHeight="1">
      <c r="A222" s="181"/>
      <c r="B222" s="181"/>
      <c r="C222" s="181"/>
      <c r="D222" s="181"/>
      <c r="E222" s="181"/>
      <c r="F222" s="181"/>
      <c r="G222" s="181"/>
      <c r="H222" s="181"/>
      <c r="I222" s="181"/>
      <c r="J222" s="181"/>
      <c r="K222" s="181"/>
      <c r="L222" s="181"/>
      <c r="M222" s="6"/>
      <c r="N222" s="6"/>
      <c r="O222" s="6"/>
      <c r="P222" s="6"/>
      <c r="Q222" s="6"/>
      <c r="R222" s="6"/>
      <c r="S222" s="6"/>
      <c r="T222" s="6"/>
      <c r="U222" s="6"/>
      <c r="V222" s="6"/>
      <c r="W222" s="6"/>
      <c r="X222" s="6"/>
      <c r="Y222" s="6"/>
      <c r="Z222" s="6"/>
    </row>
    <row r="223" ht="15.0" customHeight="1">
      <c r="A223" s="181"/>
      <c r="B223" s="181"/>
      <c r="C223" s="181"/>
      <c r="D223" s="181"/>
      <c r="E223" s="181"/>
      <c r="F223" s="181"/>
      <c r="G223" s="181"/>
      <c r="H223" s="181"/>
      <c r="I223" s="181"/>
      <c r="J223" s="181"/>
      <c r="K223" s="181"/>
      <c r="L223" s="181"/>
      <c r="M223" s="6"/>
      <c r="N223" s="6"/>
      <c r="O223" s="6"/>
      <c r="P223" s="6"/>
      <c r="Q223" s="6"/>
      <c r="R223" s="6"/>
      <c r="S223" s="6"/>
      <c r="T223" s="6"/>
      <c r="U223" s="6"/>
      <c r="V223" s="6"/>
      <c r="W223" s="6"/>
      <c r="X223" s="6"/>
      <c r="Y223" s="6"/>
      <c r="Z223" s="6"/>
    </row>
    <row r="224" ht="15.0" customHeight="1">
      <c r="A224" s="181"/>
      <c r="B224" s="181"/>
      <c r="C224" s="181"/>
      <c r="D224" s="181"/>
      <c r="E224" s="181"/>
      <c r="F224" s="181"/>
      <c r="G224" s="181"/>
      <c r="H224" s="181"/>
      <c r="I224" s="181"/>
      <c r="J224" s="181"/>
      <c r="K224" s="181"/>
      <c r="L224" s="181"/>
      <c r="M224" s="6"/>
      <c r="N224" s="6"/>
      <c r="O224" s="6"/>
      <c r="P224" s="6"/>
      <c r="Q224" s="6"/>
      <c r="R224" s="6"/>
      <c r="S224" s="6"/>
      <c r="T224" s="6"/>
      <c r="U224" s="6"/>
      <c r="V224" s="6"/>
      <c r="W224" s="6"/>
      <c r="X224" s="6"/>
      <c r="Y224" s="6"/>
      <c r="Z224" s="6"/>
    </row>
    <row r="225" ht="15.0" customHeight="1">
      <c r="A225" s="181"/>
      <c r="B225" s="181"/>
      <c r="C225" s="181"/>
      <c r="D225" s="181"/>
      <c r="E225" s="181"/>
      <c r="F225" s="181"/>
      <c r="G225" s="181"/>
      <c r="H225" s="181"/>
      <c r="I225" s="181"/>
      <c r="J225" s="181"/>
      <c r="K225" s="181"/>
      <c r="L225" s="181"/>
      <c r="M225" s="6"/>
      <c r="N225" s="6"/>
      <c r="O225" s="6"/>
      <c r="P225" s="6"/>
      <c r="Q225" s="6"/>
      <c r="R225" s="6"/>
      <c r="S225" s="6"/>
      <c r="T225" s="6"/>
      <c r="U225" s="6"/>
      <c r="V225" s="6"/>
      <c r="W225" s="6"/>
      <c r="X225" s="6"/>
      <c r="Y225" s="6"/>
      <c r="Z225" s="6"/>
    </row>
    <row r="226" ht="15.0" customHeight="1">
      <c r="A226" s="181"/>
      <c r="B226" s="181"/>
      <c r="C226" s="181"/>
      <c r="D226" s="181"/>
      <c r="E226" s="181"/>
      <c r="F226" s="181"/>
      <c r="G226" s="181"/>
      <c r="H226" s="181"/>
      <c r="I226" s="181"/>
      <c r="J226" s="181"/>
      <c r="K226" s="181"/>
      <c r="L226" s="181"/>
      <c r="M226" s="6"/>
      <c r="N226" s="6"/>
      <c r="O226" s="6"/>
      <c r="P226" s="6"/>
      <c r="Q226" s="6"/>
      <c r="R226" s="6"/>
      <c r="S226" s="6"/>
      <c r="T226" s="6"/>
      <c r="U226" s="6"/>
      <c r="V226" s="6"/>
      <c r="W226" s="6"/>
      <c r="X226" s="6"/>
      <c r="Y226" s="6"/>
      <c r="Z226" s="6"/>
    </row>
    <row r="227" ht="15.0" customHeight="1">
      <c r="A227" s="181"/>
      <c r="B227" s="181"/>
      <c r="C227" s="181"/>
      <c r="D227" s="181"/>
      <c r="E227" s="181"/>
      <c r="F227" s="181"/>
      <c r="G227" s="181"/>
      <c r="H227" s="181"/>
      <c r="I227" s="181"/>
      <c r="J227" s="181"/>
      <c r="K227" s="181"/>
      <c r="L227" s="181"/>
      <c r="M227" s="6"/>
      <c r="N227" s="6"/>
      <c r="O227" s="6"/>
      <c r="P227" s="6"/>
      <c r="Q227" s="6"/>
      <c r="R227" s="6"/>
      <c r="S227" s="6"/>
      <c r="T227" s="6"/>
      <c r="U227" s="6"/>
      <c r="V227" s="6"/>
      <c r="W227" s="6"/>
      <c r="X227" s="6"/>
      <c r="Y227" s="6"/>
      <c r="Z227" s="6"/>
    </row>
    <row r="228" ht="15.0" customHeight="1">
      <c r="A228" s="181"/>
      <c r="B228" s="181"/>
      <c r="C228" s="181"/>
      <c r="D228" s="181"/>
      <c r="E228" s="181"/>
      <c r="F228" s="181"/>
      <c r="G228" s="181"/>
      <c r="H228" s="181"/>
      <c r="I228" s="181"/>
      <c r="J228" s="181"/>
      <c r="K228" s="181"/>
      <c r="L228" s="181"/>
      <c r="M228" s="6"/>
      <c r="N228" s="6"/>
      <c r="O228" s="6"/>
      <c r="P228" s="6"/>
      <c r="Q228" s="6"/>
      <c r="R228" s="6"/>
      <c r="S228" s="6"/>
      <c r="T228" s="6"/>
      <c r="U228" s="6"/>
      <c r="V228" s="6"/>
      <c r="W228" s="6"/>
      <c r="X228" s="6"/>
      <c r="Y228" s="6"/>
      <c r="Z228" s="6"/>
    </row>
    <row r="229" ht="15.0" customHeight="1">
      <c r="A229" s="181"/>
      <c r="B229" s="181"/>
      <c r="C229" s="181"/>
      <c r="D229" s="181"/>
      <c r="E229" s="181"/>
      <c r="F229" s="181"/>
      <c r="G229" s="181"/>
      <c r="H229" s="181"/>
      <c r="I229" s="181"/>
      <c r="J229" s="181"/>
      <c r="K229" s="181"/>
      <c r="L229" s="181"/>
      <c r="M229" s="6"/>
      <c r="N229" s="6"/>
      <c r="O229" s="6"/>
      <c r="P229" s="6"/>
      <c r="Q229" s="6"/>
      <c r="R229" s="6"/>
      <c r="S229" s="6"/>
      <c r="T229" s="6"/>
      <c r="U229" s="6"/>
      <c r="V229" s="6"/>
      <c r="W229" s="6"/>
      <c r="X229" s="6"/>
      <c r="Y229" s="6"/>
      <c r="Z229" s="6"/>
    </row>
    <row r="230" ht="15.0" customHeight="1">
      <c r="A230" s="181"/>
      <c r="B230" s="181"/>
      <c r="C230" s="181"/>
      <c r="D230" s="181"/>
      <c r="E230" s="181"/>
      <c r="F230" s="181"/>
      <c r="G230" s="181"/>
      <c r="H230" s="181"/>
      <c r="I230" s="181"/>
      <c r="J230" s="181"/>
      <c r="K230" s="181"/>
      <c r="L230" s="181"/>
      <c r="M230" s="6"/>
      <c r="N230" s="6"/>
      <c r="O230" s="6"/>
      <c r="P230" s="6"/>
      <c r="Q230" s="6"/>
      <c r="R230" s="6"/>
      <c r="S230" s="6"/>
      <c r="T230" s="6"/>
      <c r="U230" s="6"/>
      <c r="V230" s="6"/>
      <c r="W230" s="6"/>
      <c r="X230" s="6"/>
      <c r="Y230" s="6"/>
      <c r="Z230" s="6"/>
    </row>
    <row r="231" ht="15.0" customHeight="1">
      <c r="A231" s="181"/>
      <c r="B231" s="181"/>
      <c r="C231" s="181"/>
      <c r="D231" s="181"/>
      <c r="E231" s="181"/>
      <c r="F231" s="181"/>
      <c r="G231" s="181"/>
      <c r="H231" s="181"/>
      <c r="I231" s="181"/>
      <c r="J231" s="181"/>
      <c r="K231" s="181"/>
      <c r="L231" s="181"/>
      <c r="M231" s="6"/>
      <c r="N231" s="6"/>
      <c r="O231" s="6"/>
      <c r="P231" s="6"/>
      <c r="Q231" s="6"/>
      <c r="R231" s="6"/>
      <c r="S231" s="6"/>
      <c r="T231" s="6"/>
      <c r="U231" s="6"/>
      <c r="V231" s="6"/>
      <c r="W231" s="6"/>
      <c r="X231" s="6"/>
      <c r="Y231" s="6"/>
      <c r="Z231" s="6"/>
    </row>
    <row r="232" ht="15.0" customHeight="1">
      <c r="A232" s="181"/>
      <c r="B232" s="181"/>
      <c r="C232" s="181"/>
      <c r="D232" s="181"/>
      <c r="E232" s="181"/>
      <c r="F232" s="181"/>
      <c r="G232" s="181"/>
      <c r="H232" s="181"/>
      <c r="I232" s="181"/>
      <c r="J232" s="181"/>
      <c r="K232" s="181"/>
      <c r="L232" s="181"/>
      <c r="M232" s="6"/>
      <c r="N232" s="6"/>
      <c r="O232" s="6"/>
      <c r="P232" s="6"/>
      <c r="Q232" s="6"/>
      <c r="R232" s="6"/>
      <c r="S232" s="6"/>
      <c r="T232" s="6"/>
      <c r="U232" s="6"/>
      <c r="V232" s="6"/>
      <c r="W232" s="6"/>
      <c r="X232" s="6"/>
      <c r="Y232" s="6"/>
      <c r="Z232" s="6"/>
    </row>
    <row r="233" ht="15.0" customHeight="1">
      <c r="A233" s="181"/>
      <c r="B233" s="181"/>
      <c r="C233" s="181"/>
      <c r="D233" s="181"/>
      <c r="E233" s="181"/>
      <c r="F233" s="181"/>
      <c r="G233" s="181"/>
      <c r="H233" s="181"/>
      <c r="I233" s="181"/>
      <c r="J233" s="181"/>
      <c r="K233" s="181"/>
      <c r="L233" s="181"/>
      <c r="M233" s="6"/>
      <c r="N233" s="6"/>
      <c r="O233" s="6"/>
      <c r="P233" s="6"/>
      <c r="Q233" s="6"/>
      <c r="R233" s="6"/>
      <c r="S233" s="6"/>
      <c r="T233" s="6"/>
      <c r="U233" s="6"/>
      <c r="V233" s="6"/>
      <c r="W233" s="6"/>
      <c r="X233" s="6"/>
      <c r="Y233" s="6"/>
      <c r="Z233" s="6"/>
    </row>
    <row r="234" ht="15.0" customHeight="1">
      <c r="A234" s="181"/>
      <c r="B234" s="181"/>
      <c r="C234" s="181"/>
      <c r="D234" s="181"/>
      <c r="E234" s="181"/>
      <c r="F234" s="181"/>
      <c r="G234" s="181"/>
      <c r="H234" s="181"/>
      <c r="I234" s="181"/>
      <c r="J234" s="181"/>
      <c r="K234" s="181"/>
      <c r="L234" s="181"/>
      <c r="M234" s="6"/>
      <c r="N234" s="6"/>
      <c r="O234" s="6"/>
      <c r="P234" s="6"/>
      <c r="Q234" s="6"/>
      <c r="R234" s="6"/>
      <c r="S234" s="6"/>
      <c r="T234" s="6"/>
      <c r="U234" s="6"/>
      <c r="V234" s="6"/>
      <c r="W234" s="6"/>
      <c r="X234" s="6"/>
      <c r="Y234" s="6"/>
      <c r="Z234" s="6"/>
    </row>
    <row r="235" ht="15.0" customHeight="1">
      <c r="A235" s="181"/>
      <c r="B235" s="181"/>
      <c r="C235" s="181"/>
      <c r="D235" s="181"/>
      <c r="E235" s="181"/>
      <c r="F235" s="181"/>
      <c r="G235" s="181"/>
      <c r="H235" s="181"/>
      <c r="I235" s="181"/>
      <c r="J235" s="181"/>
      <c r="K235" s="181"/>
      <c r="L235" s="181"/>
      <c r="M235" s="6"/>
      <c r="N235" s="6"/>
      <c r="O235" s="6"/>
      <c r="P235" s="6"/>
      <c r="Q235" s="6"/>
      <c r="R235" s="6"/>
      <c r="S235" s="6"/>
      <c r="T235" s="6"/>
      <c r="U235" s="6"/>
      <c r="V235" s="6"/>
      <c r="W235" s="6"/>
      <c r="X235" s="6"/>
      <c r="Y235" s="6"/>
      <c r="Z235" s="6"/>
    </row>
    <row r="236" ht="15.0" customHeight="1">
      <c r="A236" s="181"/>
      <c r="B236" s="181"/>
      <c r="C236" s="181"/>
      <c r="D236" s="181"/>
      <c r="E236" s="181"/>
      <c r="F236" s="181"/>
      <c r="G236" s="181"/>
      <c r="H236" s="181"/>
      <c r="I236" s="181"/>
      <c r="J236" s="181"/>
      <c r="K236" s="181"/>
      <c r="L236" s="181"/>
      <c r="M236" s="6"/>
      <c r="N236" s="6"/>
      <c r="O236" s="6"/>
      <c r="P236" s="6"/>
      <c r="Q236" s="6"/>
      <c r="R236" s="6"/>
      <c r="S236" s="6"/>
      <c r="T236" s="6"/>
      <c r="U236" s="6"/>
      <c r="V236" s="6"/>
      <c r="W236" s="6"/>
      <c r="X236" s="6"/>
      <c r="Y236" s="6"/>
      <c r="Z236" s="6"/>
    </row>
    <row r="237" ht="15.0" customHeight="1">
      <c r="A237" s="181"/>
      <c r="B237" s="181"/>
      <c r="C237" s="181"/>
      <c r="D237" s="181"/>
      <c r="E237" s="181"/>
      <c r="F237" s="181"/>
      <c r="G237" s="181"/>
      <c r="H237" s="181"/>
      <c r="I237" s="181"/>
      <c r="J237" s="181"/>
      <c r="K237" s="181"/>
      <c r="L237" s="181"/>
      <c r="M237" s="6"/>
      <c r="N237" s="6"/>
      <c r="O237" s="6"/>
      <c r="P237" s="6"/>
      <c r="Q237" s="6"/>
      <c r="R237" s="6"/>
      <c r="S237" s="6"/>
      <c r="T237" s="6"/>
      <c r="U237" s="6"/>
      <c r="V237" s="6"/>
      <c r="W237" s="6"/>
      <c r="X237" s="6"/>
      <c r="Y237" s="6"/>
      <c r="Z237" s="6"/>
    </row>
    <row r="238" ht="15.0" customHeight="1">
      <c r="A238" s="181"/>
      <c r="B238" s="181"/>
      <c r="C238" s="181"/>
      <c r="D238" s="181"/>
      <c r="E238" s="181"/>
      <c r="F238" s="181"/>
      <c r="G238" s="181"/>
      <c r="H238" s="181"/>
      <c r="I238" s="181"/>
      <c r="J238" s="181"/>
      <c r="K238" s="181"/>
      <c r="L238" s="181"/>
      <c r="M238" s="6"/>
      <c r="N238" s="6"/>
      <c r="O238" s="6"/>
      <c r="P238" s="6"/>
      <c r="Q238" s="6"/>
      <c r="R238" s="6"/>
      <c r="S238" s="6"/>
      <c r="T238" s="6"/>
      <c r="U238" s="6"/>
      <c r="V238" s="6"/>
      <c r="W238" s="6"/>
      <c r="X238" s="6"/>
      <c r="Y238" s="6"/>
      <c r="Z238" s="6"/>
    </row>
    <row r="239" ht="15.0" customHeight="1">
      <c r="A239" s="181"/>
      <c r="B239" s="181"/>
      <c r="C239" s="181"/>
      <c r="D239" s="181"/>
      <c r="E239" s="181"/>
      <c r="F239" s="181"/>
      <c r="G239" s="181"/>
      <c r="H239" s="181"/>
      <c r="I239" s="181"/>
      <c r="J239" s="181"/>
      <c r="K239" s="181"/>
      <c r="L239" s="181"/>
      <c r="M239" s="6"/>
      <c r="N239" s="6"/>
      <c r="O239" s="6"/>
      <c r="P239" s="6"/>
      <c r="Q239" s="6"/>
      <c r="R239" s="6"/>
      <c r="S239" s="6"/>
      <c r="T239" s="6"/>
      <c r="U239" s="6"/>
      <c r="V239" s="6"/>
      <c r="W239" s="6"/>
      <c r="X239" s="6"/>
      <c r="Y239" s="6"/>
      <c r="Z239" s="6"/>
    </row>
    <row r="240" ht="15.0" customHeight="1">
      <c r="A240" s="181"/>
      <c r="B240" s="181"/>
      <c r="C240" s="181"/>
      <c r="D240" s="181"/>
      <c r="E240" s="181"/>
      <c r="F240" s="181"/>
      <c r="G240" s="181"/>
      <c r="H240" s="181"/>
      <c r="I240" s="181"/>
      <c r="J240" s="181"/>
      <c r="K240" s="181"/>
      <c r="L240" s="181"/>
      <c r="M240" s="6"/>
      <c r="N240" s="6"/>
      <c r="O240" s="6"/>
      <c r="P240" s="6"/>
      <c r="Q240" s="6"/>
      <c r="R240" s="6"/>
      <c r="S240" s="6"/>
      <c r="T240" s="6"/>
      <c r="U240" s="6"/>
      <c r="V240" s="6"/>
      <c r="W240" s="6"/>
      <c r="X240" s="6"/>
      <c r="Y240" s="6"/>
      <c r="Z240" s="6"/>
    </row>
    <row r="241" ht="15.0" customHeight="1">
      <c r="A241" s="181"/>
      <c r="B241" s="181"/>
      <c r="C241" s="181"/>
      <c r="D241" s="181"/>
      <c r="E241" s="181"/>
      <c r="F241" s="181"/>
      <c r="G241" s="181"/>
      <c r="H241" s="181"/>
      <c r="I241" s="181"/>
      <c r="J241" s="181"/>
      <c r="K241" s="181"/>
      <c r="L241" s="181"/>
      <c r="M241" s="6"/>
      <c r="N241" s="6"/>
      <c r="O241" s="6"/>
      <c r="P241" s="6"/>
      <c r="Q241" s="6"/>
      <c r="R241" s="6"/>
      <c r="S241" s="6"/>
      <c r="T241" s="6"/>
      <c r="U241" s="6"/>
      <c r="V241" s="6"/>
      <c r="W241" s="6"/>
      <c r="X241" s="6"/>
      <c r="Y241" s="6"/>
      <c r="Z241" s="6"/>
    </row>
    <row r="242" ht="15.0" customHeight="1">
      <c r="A242" s="181"/>
      <c r="B242" s="181"/>
      <c r="C242" s="181"/>
      <c r="D242" s="181"/>
      <c r="E242" s="181"/>
      <c r="F242" s="181"/>
      <c r="G242" s="181"/>
      <c r="H242" s="181"/>
      <c r="I242" s="181"/>
      <c r="J242" s="181"/>
      <c r="K242" s="181"/>
      <c r="L242" s="181"/>
      <c r="M242" s="6"/>
      <c r="N242" s="6"/>
      <c r="O242" s="6"/>
      <c r="P242" s="6"/>
      <c r="Q242" s="6"/>
      <c r="R242" s="6"/>
      <c r="S242" s="6"/>
      <c r="T242" s="6"/>
      <c r="U242" s="6"/>
      <c r="V242" s="6"/>
      <c r="W242" s="6"/>
      <c r="X242" s="6"/>
      <c r="Y242" s="6"/>
      <c r="Z242" s="6"/>
    </row>
    <row r="243" ht="15.0" customHeight="1">
      <c r="A243" s="181"/>
      <c r="B243" s="181"/>
      <c r="C243" s="181"/>
      <c r="D243" s="181"/>
      <c r="E243" s="181"/>
      <c r="F243" s="181"/>
      <c r="G243" s="181"/>
      <c r="H243" s="181"/>
      <c r="I243" s="181"/>
      <c r="J243" s="181"/>
      <c r="K243" s="181"/>
      <c r="L243" s="181"/>
      <c r="M243" s="6"/>
      <c r="N243" s="6"/>
      <c r="O243" s="6"/>
      <c r="P243" s="6"/>
      <c r="Q243" s="6"/>
      <c r="R243" s="6"/>
      <c r="S243" s="6"/>
      <c r="T243" s="6"/>
      <c r="U243" s="6"/>
      <c r="V243" s="6"/>
      <c r="W243" s="6"/>
      <c r="X243" s="6"/>
      <c r="Y243" s="6"/>
      <c r="Z243" s="6"/>
    </row>
    <row r="244" ht="15.0" customHeight="1">
      <c r="A244" s="181"/>
      <c r="B244" s="181"/>
      <c r="C244" s="181"/>
      <c r="D244" s="181"/>
      <c r="E244" s="181"/>
      <c r="F244" s="181"/>
      <c r="G244" s="181"/>
      <c r="H244" s="181"/>
      <c r="I244" s="181"/>
      <c r="J244" s="181"/>
      <c r="K244" s="181"/>
      <c r="L244" s="181"/>
      <c r="M244" s="6"/>
      <c r="N244" s="6"/>
      <c r="O244" s="6"/>
      <c r="P244" s="6"/>
      <c r="Q244" s="6"/>
      <c r="R244" s="6"/>
      <c r="S244" s="6"/>
      <c r="T244" s="6"/>
      <c r="U244" s="6"/>
      <c r="V244" s="6"/>
      <c r="W244" s="6"/>
      <c r="X244" s="6"/>
      <c r="Y244" s="6"/>
      <c r="Z244" s="6"/>
    </row>
    <row r="245" ht="15.0" customHeight="1">
      <c r="A245" s="181"/>
      <c r="B245" s="181"/>
      <c r="C245" s="181"/>
      <c r="D245" s="181"/>
      <c r="E245" s="181"/>
      <c r="F245" s="181"/>
      <c r="G245" s="181"/>
      <c r="H245" s="181"/>
      <c r="I245" s="181"/>
      <c r="J245" s="181"/>
      <c r="K245" s="181"/>
      <c r="L245" s="181"/>
      <c r="M245" s="6"/>
      <c r="N245" s="6"/>
      <c r="O245" s="6"/>
      <c r="P245" s="6"/>
      <c r="Q245" s="6"/>
      <c r="R245" s="6"/>
      <c r="S245" s="6"/>
      <c r="T245" s="6"/>
      <c r="U245" s="6"/>
      <c r="V245" s="6"/>
      <c r="W245" s="6"/>
      <c r="X245" s="6"/>
      <c r="Y245" s="6"/>
      <c r="Z245" s="6"/>
    </row>
    <row r="246" ht="15.0" customHeight="1">
      <c r="A246" s="181"/>
      <c r="B246" s="181"/>
      <c r="C246" s="181"/>
      <c r="D246" s="181"/>
      <c r="E246" s="181"/>
      <c r="F246" s="181"/>
      <c r="G246" s="181"/>
      <c r="H246" s="181"/>
      <c r="I246" s="181"/>
      <c r="J246" s="181"/>
      <c r="K246" s="181"/>
      <c r="L246" s="181"/>
      <c r="M246" s="6"/>
      <c r="N246" s="6"/>
      <c r="O246" s="6"/>
      <c r="P246" s="6"/>
      <c r="Q246" s="6"/>
      <c r="R246" s="6"/>
      <c r="S246" s="6"/>
      <c r="T246" s="6"/>
      <c r="U246" s="6"/>
      <c r="V246" s="6"/>
      <c r="W246" s="6"/>
      <c r="X246" s="6"/>
      <c r="Y246" s="6"/>
      <c r="Z246" s="6"/>
    </row>
    <row r="247" ht="15.0" customHeight="1">
      <c r="A247" s="181"/>
      <c r="B247" s="181"/>
      <c r="C247" s="181"/>
      <c r="D247" s="181"/>
      <c r="E247" s="181"/>
      <c r="F247" s="181"/>
      <c r="G247" s="181"/>
      <c r="H247" s="181"/>
      <c r="I247" s="181"/>
      <c r="J247" s="181"/>
      <c r="K247" s="181"/>
      <c r="L247" s="181"/>
      <c r="M247" s="6"/>
      <c r="N247" s="6"/>
      <c r="O247" s="6"/>
      <c r="P247" s="6"/>
      <c r="Q247" s="6"/>
      <c r="R247" s="6"/>
      <c r="S247" s="6"/>
      <c r="T247" s="6"/>
      <c r="U247" s="6"/>
      <c r="V247" s="6"/>
      <c r="W247" s="6"/>
      <c r="X247" s="6"/>
      <c r="Y247" s="6"/>
      <c r="Z247" s="6"/>
    </row>
    <row r="248" ht="15.0" customHeight="1">
      <c r="A248" s="181"/>
      <c r="B248" s="181"/>
      <c r="C248" s="181"/>
      <c r="D248" s="181"/>
      <c r="E248" s="181"/>
      <c r="F248" s="181"/>
      <c r="G248" s="181"/>
      <c r="H248" s="181"/>
      <c r="I248" s="181"/>
      <c r="J248" s="181"/>
      <c r="K248" s="181"/>
      <c r="L248" s="181"/>
      <c r="M248" s="6"/>
      <c r="N248" s="6"/>
      <c r="O248" s="6"/>
      <c r="P248" s="6"/>
      <c r="Q248" s="6"/>
      <c r="R248" s="6"/>
      <c r="S248" s="6"/>
      <c r="T248" s="6"/>
      <c r="U248" s="6"/>
      <c r="V248" s="6"/>
      <c r="W248" s="6"/>
      <c r="X248" s="6"/>
      <c r="Y248" s="6"/>
      <c r="Z248" s="6"/>
    </row>
    <row r="249" ht="15.0" customHeight="1">
      <c r="A249" s="181"/>
      <c r="B249" s="181"/>
      <c r="C249" s="181"/>
      <c r="D249" s="181"/>
      <c r="E249" s="181"/>
      <c r="F249" s="181"/>
      <c r="G249" s="181"/>
      <c r="H249" s="181"/>
      <c r="I249" s="181"/>
      <c r="J249" s="181"/>
      <c r="K249" s="181"/>
      <c r="L249" s="181"/>
      <c r="M249" s="6"/>
      <c r="N249" s="6"/>
      <c r="O249" s="6"/>
      <c r="P249" s="6"/>
      <c r="Q249" s="6"/>
      <c r="R249" s="6"/>
      <c r="S249" s="6"/>
      <c r="T249" s="6"/>
      <c r="U249" s="6"/>
      <c r="V249" s="6"/>
      <c r="W249" s="6"/>
      <c r="X249" s="6"/>
      <c r="Y249" s="6"/>
      <c r="Z249" s="6"/>
    </row>
    <row r="250" ht="15.0" customHeight="1">
      <c r="A250" s="181"/>
      <c r="B250" s="181"/>
      <c r="C250" s="181"/>
      <c r="D250" s="181"/>
      <c r="E250" s="181"/>
      <c r="F250" s="181"/>
      <c r="G250" s="181"/>
      <c r="H250" s="181"/>
      <c r="I250" s="181"/>
      <c r="J250" s="181"/>
      <c r="K250" s="181"/>
      <c r="L250" s="181"/>
      <c r="M250" s="6"/>
      <c r="N250" s="6"/>
      <c r="O250" s="6"/>
      <c r="P250" s="6"/>
      <c r="Q250" s="6"/>
      <c r="R250" s="6"/>
      <c r="S250" s="6"/>
      <c r="T250" s="6"/>
      <c r="U250" s="6"/>
      <c r="V250" s="6"/>
      <c r="W250" s="6"/>
      <c r="X250" s="6"/>
      <c r="Y250" s="6"/>
      <c r="Z250" s="6"/>
    </row>
    <row r="251" ht="15.0" customHeight="1">
      <c r="A251" s="181"/>
      <c r="B251" s="181"/>
      <c r="C251" s="181"/>
      <c r="D251" s="181"/>
      <c r="E251" s="181"/>
      <c r="F251" s="181"/>
      <c r="G251" s="181"/>
      <c r="H251" s="181"/>
      <c r="I251" s="181"/>
      <c r="J251" s="181"/>
      <c r="K251" s="181"/>
      <c r="L251" s="181"/>
      <c r="M251" s="6"/>
      <c r="N251" s="6"/>
      <c r="O251" s="6"/>
      <c r="P251" s="6"/>
      <c r="Q251" s="6"/>
      <c r="R251" s="6"/>
      <c r="S251" s="6"/>
      <c r="T251" s="6"/>
      <c r="U251" s="6"/>
      <c r="V251" s="6"/>
      <c r="W251" s="6"/>
      <c r="X251" s="6"/>
      <c r="Y251" s="6"/>
      <c r="Z251" s="6"/>
    </row>
    <row r="252" ht="15.0" customHeight="1">
      <c r="A252" s="181"/>
      <c r="B252" s="181"/>
      <c r="C252" s="181"/>
      <c r="D252" s="181"/>
      <c r="E252" s="181"/>
      <c r="F252" s="181"/>
      <c r="G252" s="181"/>
      <c r="H252" s="181"/>
      <c r="I252" s="181"/>
      <c r="J252" s="181"/>
      <c r="K252" s="181"/>
      <c r="L252" s="181"/>
      <c r="M252" s="6"/>
      <c r="N252" s="6"/>
      <c r="O252" s="6"/>
      <c r="P252" s="6"/>
      <c r="Q252" s="6"/>
      <c r="R252" s="6"/>
      <c r="S252" s="6"/>
      <c r="T252" s="6"/>
      <c r="U252" s="6"/>
      <c r="V252" s="6"/>
      <c r="W252" s="6"/>
      <c r="X252" s="6"/>
      <c r="Y252" s="6"/>
      <c r="Z252" s="6"/>
    </row>
    <row r="253" ht="15.0" customHeight="1">
      <c r="A253" s="181"/>
      <c r="B253" s="181"/>
      <c r="C253" s="181"/>
      <c r="D253" s="181"/>
      <c r="E253" s="181"/>
      <c r="F253" s="181"/>
      <c r="G253" s="181"/>
      <c r="H253" s="181"/>
      <c r="I253" s="181"/>
      <c r="J253" s="181"/>
      <c r="K253" s="181"/>
      <c r="L253" s="181"/>
      <c r="M253" s="6"/>
      <c r="N253" s="6"/>
      <c r="O253" s="6"/>
      <c r="P253" s="6"/>
      <c r="Q253" s="6"/>
      <c r="R253" s="6"/>
      <c r="S253" s="6"/>
      <c r="T253" s="6"/>
      <c r="U253" s="6"/>
      <c r="V253" s="6"/>
      <c r="W253" s="6"/>
      <c r="X253" s="6"/>
      <c r="Y253" s="6"/>
      <c r="Z253" s="6"/>
    </row>
    <row r="254" ht="15.0" customHeight="1">
      <c r="A254" s="181"/>
      <c r="B254" s="181"/>
      <c r="C254" s="181"/>
      <c r="D254" s="181"/>
      <c r="E254" s="181"/>
      <c r="F254" s="181"/>
      <c r="G254" s="181"/>
      <c r="H254" s="181"/>
      <c r="I254" s="181"/>
      <c r="J254" s="181"/>
      <c r="K254" s="181"/>
      <c r="L254" s="181"/>
      <c r="M254" s="6"/>
      <c r="N254" s="6"/>
      <c r="O254" s="6"/>
      <c r="P254" s="6"/>
      <c r="Q254" s="6"/>
      <c r="R254" s="6"/>
      <c r="S254" s="6"/>
      <c r="T254" s="6"/>
      <c r="U254" s="6"/>
      <c r="V254" s="6"/>
      <c r="W254" s="6"/>
      <c r="X254" s="6"/>
      <c r="Y254" s="6"/>
      <c r="Z254" s="6"/>
    </row>
    <row r="255" ht="15.0" customHeight="1">
      <c r="A255" s="181"/>
      <c r="B255" s="181"/>
      <c r="C255" s="181"/>
      <c r="D255" s="181"/>
      <c r="E255" s="181"/>
      <c r="F255" s="181"/>
      <c r="G255" s="181"/>
      <c r="H255" s="181"/>
      <c r="I255" s="181"/>
      <c r="J255" s="181"/>
      <c r="K255" s="181"/>
      <c r="L255" s="181"/>
      <c r="M255" s="6"/>
      <c r="N255" s="6"/>
      <c r="O255" s="6"/>
      <c r="P255" s="6"/>
      <c r="Q255" s="6"/>
      <c r="R255" s="6"/>
      <c r="S255" s="6"/>
      <c r="T255" s="6"/>
      <c r="U255" s="6"/>
      <c r="V255" s="6"/>
      <c r="W255" s="6"/>
      <c r="X255" s="6"/>
      <c r="Y255" s="6"/>
      <c r="Z255" s="6"/>
    </row>
    <row r="256" ht="15.0" customHeight="1">
      <c r="A256" s="181"/>
      <c r="B256" s="181"/>
      <c r="C256" s="181"/>
      <c r="D256" s="181"/>
      <c r="E256" s="181"/>
      <c r="F256" s="181"/>
      <c r="G256" s="181"/>
      <c r="H256" s="181"/>
      <c r="I256" s="181"/>
      <c r="J256" s="181"/>
      <c r="K256" s="181"/>
      <c r="L256" s="181"/>
      <c r="M256" s="6"/>
      <c r="N256" s="6"/>
      <c r="O256" s="6"/>
      <c r="P256" s="6"/>
      <c r="Q256" s="6"/>
      <c r="R256" s="6"/>
      <c r="S256" s="6"/>
      <c r="T256" s="6"/>
      <c r="U256" s="6"/>
      <c r="V256" s="6"/>
      <c r="W256" s="6"/>
      <c r="X256" s="6"/>
      <c r="Y256" s="6"/>
      <c r="Z256" s="6"/>
    </row>
    <row r="257" ht="15.0" customHeight="1">
      <c r="A257" s="181"/>
      <c r="B257" s="181"/>
      <c r="C257" s="181"/>
      <c r="D257" s="181"/>
      <c r="E257" s="181"/>
      <c r="F257" s="181"/>
      <c r="G257" s="181"/>
      <c r="H257" s="181"/>
      <c r="I257" s="181"/>
      <c r="J257" s="181"/>
      <c r="K257" s="181"/>
      <c r="L257" s="181"/>
      <c r="M257" s="6"/>
      <c r="N257" s="6"/>
      <c r="O257" s="6"/>
      <c r="P257" s="6"/>
      <c r="Q257" s="6"/>
      <c r="R257" s="6"/>
      <c r="S257" s="6"/>
      <c r="T257" s="6"/>
      <c r="U257" s="6"/>
      <c r="V257" s="6"/>
      <c r="W257" s="6"/>
      <c r="X257" s="6"/>
      <c r="Y257" s="6"/>
      <c r="Z257" s="6"/>
    </row>
    <row r="258" ht="15.0" customHeight="1">
      <c r="A258" s="181"/>
      <c r="B258" s="181"/>
      <c r="C258" s="181"/>
      <c r="D258" s="181"/>
      <c r="E258" s="181"/>
      <c r="F258" s="181"/>
      <c r="G258" s="181"/>
      <c r="H258" s="181"/>
      <c r="I258" s="181"/>
      <c r="J258" s="181"/>
      <c r="K258" s="181"/>
      <c r="L258" s="181"/>
      <c r="M258" s="6"/>
      <c r="N258" s="6"/>
      <c r="O258" s="6"/>
      <c r="P258" s="6"/>
      <c r="Q258" s="6"/>
      <c r="R258" s="6"/>
      <c r="S258" s="6"/>
      <c r="T258" s="6"/>
      <c r="U258" s="6"/>
      <c r="V258" s="6"/>
      <c r="W258" s="6"/>
      <c r="X258" s="6"/>
      <c r="Y258" s="6"/>
      <c r="Z258" s="6"/>
    </row>
    <row r="259" ht="15.0" customHeight="1">
      <c r="A259" s="181"/>
      <c r="B259" s="181"/>
      <c r="C259" s="181"/>
      <c r="D259" s="181"/>
      <c r="E259" s="181"/>
      <c r="F259" s="181"/>
      <c r="G259" s="181"/>
      <c r="H259" s="181"/>
      <c r="I259" s="181"/>
      <c r="J259" s="181"/>
      <c r="K259" s="181"/>
      <c r="L259" s="181"/>
      <c r="M259" s="6"/>
      <c r="N259" s="6"/>
      <c r="O259" s="6"/>
      <c r="P259" s="6"/>
      <c r="Q259" s="6"/>
      <c r="R259" s="6"/>
      <c r="S259" s="6"/>
      <c r="T259" s="6"/>
      <c r="U259" s="6"/>
      <c r="V259" s="6"/>
      <c r="W259" s="6"/>
      <c r="X259" s="6"/>
      <c r="Y259" s="6"/>
      <c r="Z259" s="6"/>
    </row>
    <row r="260" ht="15.0" customHeight="1">
      <c r="A260" s="181"/>
      <c r="B260" s="181"/>
      <c r="C260" s="181"/>
      <c r="D260" s="181"/>
      <c r="E260" s="181"/>
      <c r="F260" s="181"/>
      <c r="G260" s="181"/>
      <c r="H260" s="181"/>
      <c r="I260" s="181"/>
      <c r="J260" s="181"/>
      <c r="K260" s="181"/>
      <c r="L260" s="181"/>
      <c r="M260" s="6"/>
      <c r="N260" s="6"/>
      <c r="O260" s="6"/>
      <c r="P260" s="6"/>
      <c r="Q260" s="6"/>
      <c r="R260" s="6"/>
      <c r="S260" s="6"/>
      <c r="T260" s="6"/>
      <c r="U260" s="6"/>
      <c r="V260" s="6"/>
      <c r="W260" s="6"/>
      <c r="X260" s="6"/>
      <c r="Y260" s="6"/>
      <c r="Z260" s="6"/>
    </row>
    <row r="261" ht="15.0" customHeight="1">
      <c r="A261" s="181"/>
      <c r="B261" s="181"/>
      <c r="C261" s="181"/>
      <c r="D261" s="181"/>
      <c r="E261" s="181"/>
      <c r="F261" s="181"/>
      <c r="G261" s="181"/>
      <c r="H261" s="181"/>
      <c r="I261" s="181"/>
      <c r="J261" s="181"/>
      <c r="K261" s="181"/>
      <c r="L261" s="181"/>
      <c r="M261" s="6"/>
      <c r="N261" s="6"/>
      <c r="O261" s="6"/>
      <c r="P261" s="6"/>
      <c r="Q261" s="6"/>
      <c r="R261" s="6"/>
      <c r="S261" s="6"/>
      <c r="T261" s="6"/>
      <c r="U261" s="6"/>
      <c r="V261" s="6"/>
      <c r="W261" s="6"/>
      <c r="X261" s="6"/>
      <c r="Y261" s="6"/>
      <c r="Z261" s="6"/>
    </row>
    <row r="262" ht="15.0" customHeight="1">
      <c r="A262" s="181"/>
      <c r="B262" s="181"/>
      <c r="C262" s="181"/>
      <c r="D262" s="181"/>
      <c r="E262" s="181"/>
      <c r="F262" s="181"/>
      <c r="G262" s="181"/>
      <c r="H262" s="181"/>
      <c r="I262" s="181"/>
      <c r="J262" s="181"/>
      <c r="K262" s="181"/>
      <c r="L262" s="181"/>
      <c r="M262" s="6"/>
      <c r="N262" s="6"/>
      <c r="O262" s="6"/>
      <c r="P262" s="6"/>
      <c r="Q262" s="6"/>
      <c r="R262" s="6"/>
      <c r="S262" s="6"/>
      <c r="T262" s="6"/>
      <c r="U262" s="6"/>
      <c r="V262" s="6"/>
      <c r="W262" s="6"/>
      <c r="X262" s="6"/>
      <c r="Y262" s="6"/>
      <c r="Z262" s="6"/>
    </row>
    <row r="263" ht="15.0" customHeight="1">
      <c r="A263" s="181"/>
      <c r="B263" s="181"/>
      <c r="C263" s="181"/>
      <c r="D263" s="181"/>
      <c r="E263" s="181"/>
      <c r="F263" s="181"/>
      <c r="G263" s="181"/>
      <c r="H263" s="181"/>
      <c r="I263" s="181"/>
      <c r="J263" s="181"/>
      <c r="K263" s="181"/>
      <c r="L263" s="181"/>
      <c r="M263" s="6"/>
      <c r="N263" s="6"/>
      <c r="O263" s="6"/>
      <c r="P263" s="6"/>
      <c r="Q263" s="6"/>
      <c r="R263" s="6"/>
      <c r="S263" s="6"/>
      <c r="T263" s="6"/>
      <c r="U263" s="6"/>
      <c r="V263" s="6"/>
      <c r="W263" s="6"/>
      <c r="X263" s="6"/>
      <c r="Y263" s="6"/>
      <c r="Z263" s="6"/>
    </row>
    <row r="264" ht="15.0" customHeight="1">
      <c r="A264" s="181"/>
      <c r="B264" s="181"/>
      <c r="C264" s="181"/>
      <c r="D264" s="181"/>
      <c r="E264" s="181"/>
      <c r="F264" s="181"/>
      <c r="G264" s="181"/>
      <c r="H264" s="181"/>
      <c r="I264" s="181"/>
      <c r="J264" s="181"/>
      <c r="K264" s="181"/>
      <c r="L264" s="181"/>
      <c r="M264" s="6"/>
      <c r="N264" s="6"/>
      <c r="O264" s="6"/>
      <c r="P264" s="6"/>
      <c r="Q264" s="6"/>
      <c r="R264" s="6"/>
      <c r="S264" s="6"/>
      <c r="T264" s="6"/>
      <c r="U264" s="6"/>
      <c r="V264" s="6"/>
      <c r="W264" s="6"/>
      <c r="X264" s="6"/>
      <c r="Y264" s="6"/>
      <c r="Z264" s="6"/>
    </row>
    <row r="265" ht="15.0" customHeight="1">
      <c r="A265" s="181"/>
      <c r="B265" s="181"/>
      <c r="C265" s="181"/>
      <c r="D265" s="181"/>
      <c r="E265" s="181"/>
      <c r="F265" s="181"/>
      <c r="G265" s="181"/>
      <c r="H265" s="181"/>
      <c r="I265" s="181"/>
      <c r="J265" s="181"/>
      <c r="K265" s="181"/>
      <c r="L265" s="181"/>
      <c r="M265" s="6"/>
      <c r="N265" s="6"/>
      <c r="O265" s="6"/>
      <c r="P265" s="6"/>
      <c r="Q265" s="6"/>
      <c r="R265" s="6"/>
      <c r="S265" s="6"/>
      <c r="T265" s="6"/>
      <c r="U265" s="6"/>
      <c r="V265" s="6"/>
      <c r="W265" s="6"/>
      <c r="X265" s="6"/>
      <c r="Y265" s="6"/>
      <c r="Z265" s="6"/>
    </row>
    <row r="266" ht="15.0" customHeight="1">
      <c r="A266" s="181"/>
      <c r="B266" s="181"/>
      <c r="C266" s="181"/>
      <c r="D266" s="181"/>
      <c r="E266" s="181"/>
      <c r="F266" s="181"/>
      <c r="G266" s="181"/>
      <c r="H266" s="181"/>
      <c r="I266" s="181"/>
      <c r="J266" s="181"/>
      <c r="K266" s="181"/>
      <c r="L266" s="181"/>
      <c r="M266" s="6"/>
      <c r="N266" s="6"/>
      <c r="O266" s="6"/>
      <c r="P266" s="6"/>
      <c r="Q266" s="6"/>
      <c r="R266" s="6"/>
      <c r="S266" s="6"/>
      <c r="T266" s="6"/>
      <c r="U266" s="6"/>
      <c r="V266" s="6"/>
      <c r="W266" s="6"/>
      <c r="X266" s="6"/>
      <c r="Y266" s="6"/>
      <c r="Z266" s="6"/>
    </row>
    <row r="267" ht="15.0" customHeight="1">
      <c r="A267" s="181"/>
      <c r="B267" s="181"/>
      <c r="C267" s="181"/>
      <c r="D267" s="181"/>
      <c r="E267" s="181"/>
      <c r="F267" s="181"/>
      <c r="G267" s="181"/>
      <c r="H267" s="181"/>
      <c r="I267" s="181"/>
      <c r="J267" s="181"/>
      <c r="K267" s="181"/>
      <c r="L267" s="181"/>
      <c r="M267" s="6"/>
      <c r="N267" s="6"/>
      <c r="O267" s="6"/>
      <c r="P267" s="6"/>
      <c r="Q267" s="6"/>
      <c r="R267" s="6"/>
      <c r="S267" s="6"/>
      <c r="T267" s="6"/>
      <c r="U267" s="6"/>
      <c r="V267" s="6"/>
      <c r="W267" s="6"/>
      <c r="X267" s="6"/>
      <c r="Y267" s="6"/>
      <c r="Z267" s="6"/>
    </row>
    <row r="268" ht="15.0" customHeight="1">
      <c r="A268" s="181"/>
      <c r="B268" s="181"/>
      <c r="C268" s="181"/>
      <c r="D268" s="181"/>
      <c r="E268" s="181"/>
      <c r="F268" s="181"/>
      <c r="G268" s="181"/>
      <c r="H268" s="181"/>
      <c r="I268" s="181"/>
      <c r="J268" s="181"/>
      <c r="K268" s="181"/>
      <c r="L268" s="181"/>
      <c r="M268" s="6"/>
      <c r="N268" s="6"/>
      <c r="O268" s="6"/>
      <c r="P268" s="6"/>
      <c r="Q268" s="6"/>
      <c r="R268" s="6"/>
      <c r="S268" s="6"/>
      <c r="T268" s="6"/>
      <c r="U268" s="6"/>
      <c r="V268" s="6"/>
      <c r="W268" s="6"/>
      <c r="X268" s="6"/>
      <c r="Y268" s="6"/>
      <c r="Z268" s="6"/>
    </row>
    <row r="269" ht="15.0" customHeight="1">
      <c r="A269" s="181"/>
      <c r="B269" s="181"/>
      <c r="C269" s="181"/>
      <c r="D269" s="181"/>
      <c r="E269" s="181"/>
      <c r="F269" s="181"/>
      <c r="G269" s="181"/>
      <c r="H269" s="181"/>
      <c r="I269" s="181"/>
      <c r="J269" s="181"/>
      <c r="K269" s="181"/>
      <c r="L269" s="181"/>
      <c r="M269" s="6"/>
      <c r="N269" s="6"/>
      <c r="O269" s="6"/>
      <c r="P269" s="6"/>
      <c r="Q269" s="6"/>
      <c r="R269" s="6"/>
      <c r="S269" s="6"/>
      <c r="T269" s="6"/>
      <c r="U269" s="6"/>
      <c r="V269" s="6"/>
      <c r="W269" s="6"/>
      <c r="X269" s="6"/>
      <c r="Y269" s="6"/>
      <c r="Z269" s="6"/>
    </row>
    <row r="270" ht="15.0" customHeight="1">
      <c r="A270" s="181"/>
      <c r="B270" s="181"/>
      <c r="C270" s="181"/>
      <c r="D270" s="181"/>
      <c r="E270" s="181"/>
      <c r="F270" s="181"/>
      <c r="G270" s="181"/>
      <c r="H270" s="181"/>
      <c r="I270" s="181"/>
      <c r="J270" s="181"/>
      <c r="K270" s="181"/>
      <c r="L270" s="181"/>
      <c r="M270" s="6"/>
      <c r="N270" s="6"/>
      <c r="O270" s="6"/>
      <c r="P270" s="6"/>
      <c r="Q270" s="6"/>
      <c r="R270" s="6"/>
      <c r="S270" s="6"/>
      <c r="T270" s="6"/>
      <c r="U270" s="6"/>
      <c r="V270" s="6"/>
      <c r="W270" s="6"/>
      <c r="X270" s="6"/>
      <c r="Y270" s="6"/>
      <c r="Z270" s="6"/>
    </row>
    <row r="271" ht="15.0" customHeight="1">
      <c r="A271" s="181"/>
      <c r="B271" s="181"/>
      <c r="C271" s="181"/>
      <c r="D271" s="181"/>
      <c r="E271" s="181"/>
      <c r="F271" s="181"/>
      <c r="G271" s="181"/>
      <c r="H271" s="181"/>
      <c r="I271" s="181"/>
      <c r="J271" s="181"/>
      <c r="K271" s="181"/>
      <c r="L271" s="181"/>
      <c r="M271" s="6"/>
      <c r="N271" s="6"/>
      <c r="O271" s="6"/>
      <c r="P271" s="6"/>
      <c r="Q271" s="6"/>
      <c r="R271" s="6"/>
      <c r="S271" s="6"/>
      <c r="T271" s="6"/>
      <c r="U271" s="6"/>
      <c r="V271" s="6"/>
      <c r="W271" s="6"/>
      <c r="X271" s="6"/>
      <c r="Y271" s="6"/>
      <c r="Z271" s="6"/>
    </row>
    <row r="272" ht="15.0" customHeight="1">
      <c r="A272" s="181"/>
      <c r="B272" s="181"/>
      <c r="C272" s="181"/>
      <c r="D272" s="181"/>
      <c r="E272" s="181"/>
      <c r="F272" s="181"/>
      <c r="G272" s="181"/>
      <c r="H272" s="181"/>
      <c r="I272" s="181"/>
      <c r="J272" s="181"/>
      <c r="K272" s="181"/>
      <c r="L272" s="181"/>
      <c r="M272" s="6"/>
      <c r="N272" s="6"/>
      <c r="O272" s="6"/>
      <c r="P272" s="6"/>
      <c r="Q272" s="6"/>
      <c r="R272" s="6"/>
      <c r="S272" s="6"/>
      <c r="T272" s="6"/>
      <c r="U272" s="6"/>
      <c r="V272" s="6"/>
      <c r="W272" s="6"/>
      <c r="X272" s="6"/>
      <c r="Y272" s="6"/>
      <c r="Z272" s="6"/>
    </row>
    <row r="273" ht="15.0" customHeight="1">
      <c r="A273" s="181"/>
      <c r="B273" s="181"/>
      <c r="C273" s="181"/>
      <c r="D273" s="181"/>
      <c r="E273" s="181"/>
      <c r="F273" s="181"/>
      <c r="G273" s="181"/>
      <c r="H273" s="181"/>
      <c r="I273" s="181"/>
      <c r="J273" s="181"/>
      <c r="K273" s="181"/>
      <c r="L273" s="181"/>
      <c r="M273" s="6"/>
      <c r="N273" s="6"/>
      <c r="O273" s="6"/>
      <c r="P273" s="6"/>
      <c r="Q273" s="6"/>
      <c r="R273" s="6"/>
      <c r="S273" s="6"/>
      <c r="T273" s="6"/>
      <c r="U273" s="6"/>
      <c r="V273" s="6"/>
      <c r="W273" s="6"/>
      <c r="X273" s="6"/>
      <c r="Y273" s="6"/>
      <c r="Z273" s="6"/>
    </row>
    <row r="274" ht="15.0" customHeight="1">
      <c r="A274" s="181"/>
      <c r="B274" s="181"/>
      <c r="C274" s="181"/>
      <c r="D274" s="181"/>
      <c r="E274" s="181"/>
      <c r="F274" s="181"/>
      <c r="G274" s="181"/>
      <c r="H274" s="181"/>
      <c r="I274" s="181"/>
      <c r="J274" s="181"/>
      <c r="K274" s="181"/>
      <c r="L274" s="181"/>
      <c r="M274" s="6"/>
      <c r="N274" s="6"/>
      <c r="O274" s="6"/>
      <c r="P274" s="6"/>
      <c r="Q274" s="6"/>
      <c r="R274" s="6"/>
      <c r="S274" s="6"/>
      <c r="T274" s="6"/>
      <c r="U274" s="6"/>
      <c r="V274" s="6"/>
      <c r="W274" s="6"/>
      <c r="X274" s="6"/>
      <c r="Y274" s="6"/>
      <c r="Z274" s="6"/>
    </row>
    <row r="275" ht="15.0" customHeight="1">
      <c r="A275" s="181"/>
      <c r="B275" s="181"/>
      <c r="C275" s="181"/>
      <c r="D275" s="181"/>
      <c r="E275" s="181"/>
      <c r="F275" s="181"/>
      <c r="G275" s="181"/>
      <c r="H275" s="181"/>
      <c r="I275" s="181"/>
      <c r="J275" s="181"/>
      <c r="K275" s="181"/>
      <c r="L275" s="181"/>
      <c r="M275" s="6"/>
      <c r="N275" s="6"/>
      <c r="O275" s="6"/>
      <c r="P275" s="6"/>
      <c r="Q275" s="6"/>
      <c r="R275" s="6"/>
      <c r="S275" s="6"/>
      <c r="T275" s="6"/>
      <c r="U275" s="6"/>
      <c r="V275" s="6"/>
      <c r="W275" s="6"/>
      <c r="X275" s="6"/>
      <c r="Y275" s="6"/>
      <c r="Z275" s="6"/>
    </row>
    <row r="276" ht="15.0" customHeight="1">
      <c r="A276" s="181"/>
      <c r="B276" s="181"/>
      <c r="C276" s="181"/>
      <c r="D276" s="181"/>
      <c r="E276" s="181"/>
      <c r="F276" s="181"/>
      <c r="G276" s="181"/>
      <c r="H276" s="181"/>
      <c r="I276" s="181"/>
      <c r="J276" s="181"/>
      <c r="K276" s="181"/>
      <c r="L276" s="181"/>
      <c r="M276" s="6"/>
      <c r="N276" s="6"/>
      <c r="O276" s="6"/>
      <c r="P276" s="6"/>
      <c r="Q276" s="6"/>
      <c r="R276" s="6"/>
      <c r="S276" s="6"/>
      <c r="T276" s="6"/>
      <c r="U276" s="6"/>
      <c r="V276" s="6"/>
      <c r="W276" s="6"/>
      <c r="X276" s="6"/>
      <c r="Y276" s="6"/>
      <c r="Z276" s="6"/>
    </row>
    <row r="277" ht="15.0" customHeight="1">
      <c r="A277" s="181"/>
      <c r="B277" s="181"/>
      <c r="C277" s="181"/>
      <c r="D277" s="181"/>
      <c r="E277" s="181"/>
      <c r="F277" s="181"/>
      <c r="G277" s="181"/>
      <c r="H277" s="181"/>
      <c r="I277" s="181"/>
      <c r="J277" s="181"/>
      <c r="K277" s="181"/>
      <c r="L277" s="181"/>
      <c r="M277" s="6"/>
      <c r="N277" s="6"/>
      <c r="O277" s="6"/>
      <c r="P277" s="6"/>
      <c r="Q277" s="6"/>
      <c r="R277" s="6"/>
      <c r="S277" s="6"/>
      <c r="T277" s="6"/>
      <c r="U277" s="6"/>
      <c r="V277" s="6"/>
      <c r="W277" s="6"/>
      <c r="X277" s="6"/>
      <c r="Y277" s="6"/>
      <c r="Z277" s="6"/>
    </row>
    <row r="278" ht="15.0" customHeight="1">
      <c r="A278" s="181"/>
      <c r="B278" s="181"/>
      <c r="C278" s="181"/>
      <c r="D278" s="181"/>
      <c r="E278" s="181"/>
      <c r="F278" s="181"/>
      <c r="G278" s="181"/>
      <c r="H278" s="181"/>
      <c r="I278" s="181"/>
      <c r="J278" s="181"/>
      <c r="K278" s="181"/>
      <c r="L278" s="181"/>
      <c r="M278" s="6"/>
      <c r="N278" s="6"/>
      <c r="O278" s="6"/>
      <c r="P278" s="6"/>
      <c r="Q278" s="6"/>
      <c r="R278" s="6"/>
      <c r="S278" s="6"/>
      <c r="T278" s="6"/>
      <c r="U278" s="6"/>
      <c r="V278" s="6"/>
      <c r="W278" s="6"/>
      <c r="X278" s="6"/>
      <c r="Y278" s="6"/>
      <c r="Z278" s="6"/>
    </row>
    <row r="279" ht="15.0" customHeight="1">
      <c r="A279" s="181"/>
      <c r="B279" s="181"/>
      <c r="C279" s="181"/>
      <c r="D279" s="181"/>
      <c r="E279" s="181"/>
      <c r="F279" s="181"/>
      <c r="G279" s="181"/>
      <c r="H279" s="181"/>
      <c r="I279" s="181"/>
      <c r="J279" s="181"/>
      <c r="K279" s="181"/>
      <c r="L279" s="181"/>
      <c r="M279" s="6"/>
      <c r="N279" s="6"/>
      <c r="O279" s="6"/>
      <c r="P279" s="6"/>
      <c r="Q279" s="6"/>
      <c r="R279" s="6"/>
      <c r="S279" s="6"/>
      <c r="T279" s="6"/>
      <c r="U279" s="6"/>
      <c r="V279" s="6"/>
      <c r="W279" s="6"/>
      <c r="X279" s="6"/>
      <c r="Y279" s="6"/>
      <c r="Z279" s="6"/>
    </row>
    <row r="280" ht="15.0" customHeight="1">
      <c r="A280" s="181"/>
      <c r="B280" s="181"/>
      <c r="C280" s="181"/>
      <c r="D280" s="181"/>
      <c r="E280" s="181"/>
      <c r="F280" s="181"/>
      <c r="G280" s="181"/>
      <c r="H280" s="181"/>
      <c r="I280" s="181"/>
      <c r="J280" s="181"/>
      <c r="K280" s="181"/>
      <c r="L280" s="181"/>
      <c r="M280" s="6"/>
      <c r="N280" s="6"/>
      <c r="O280" s="6"/>
      <c r="P280" s="6"/>
      <c r="Q280" s="6"/>
      <c r="R280" s="6"/>
      <c r="S280" s="6"/>
      <c r="T280" s="6"/>
      <c r="U280" s="6"/>
      <c r="V280" s="6"/>
      <c r="W280" s="6"/>
      <c r="X280" s="6"/>
      <c r="Y280" s="6"/>
      <c r="Z280" s="6"/>
    </row>
    <row r="281" ht="15.0" customHeight="1">
      <c r="A281" s="181"/>
      <c r="B281" s="181"/>
      <c r="C281" s="181"/>
      <c r="D281" s="181"/>
      <c r="E281" s="181"/>
      <c r="F281" s="181"/>
      <c r="G281" s="181"/>
      <c r="H281" s="181"/>
      <c r="I281" s="181"/>
      <c r="J281" s="181"/>
      <c r="K281" s="181"/>
      <c r="L281" s="181"/>
      <c r="M281" s="6"/>
      <c r="N281" s="6"/>
      <c r="O281" s="6"/>
      <c r="P281" s="6"/>
      <c r="Q281" s="6"/>
      <c r="R281" s="6"/>
      <c r="S281" s="6"/>
      <c r="T281" s="6"/>
      <c r="U281" s="6"/>
      <c r="V281" s="6"/>
      <c r="W281" s="6"/>
      <c r="X281" s="6"/>
      <c r="Y281" s="6"/>
      <c r="Z281" s="6"/>
    </row>
    <row r="282" ht="15.0" customHeight="1">
      <c r="A282" s="181"/>
      <c r="B282" s="181"/>
      <c r="C282" s="181"/>
      <c r="D282" s="181"/>
      <c r="E282" s="181"/>
      <c r="F282" s="181"/>
      <c r="G282" s="181"/>
      <c r="H282" s="181"/>
      <c r="I282" s="181"/>
      <c r="J282" s="181"/>
      <c r="K282" s="181"/>
      <c r="L282" s="181"/>
      <c r="M282" s="6"/>
      <c r="N282" s="6"/>
      <c r="O282" s="6"/>
      <c r="P282" s="6"/>
      <c r="Q282" s="6"/>
      <c r="R282" s="6"/>
      <c r="S282" s="6"/>
      <c r="T282" s="6"/>
      <c r="U282" s="6"/>
      <c r="V282" s="6"/>
      <c r="W282" s="6"/>
      <c r="X282" s="6"/>
      <c r="Y282" s="6"/>
      <c r="Z282" s="6"/>
    </row>
    <row r="283" ht="15.0" customHeight="1">
      <c r="A283" s="181"/>
      <c r="B283" s="181"/>
      <c r="C283" s="181"/>
      <c r="D283" s="181"/>
      <c r="E283" s="181"/>
      <c r="F283" s="181"/>
      <c r="G283" s="181"/>
      <c r="H283" s="181"/>
      <c r="I283" s="181"/>
      <c r="J283" s="181"/>
      <c r="K283" s="181"/>
      <c r="L283" s="181"/>
      <c r="M283" s="6"/>
      <c r="N283" s="6"/>
      <c r="O283" s="6"/>
      <c r="P283" s="6"/>
      <c r="Q283" s="6"/>
      <c r="R283" s="6"/>
      <c r="S283" s="6"/>
      <c r="T283" s="6"/>
      <c r="U283" s="6"/>
      <c r="V283" s="6"/>
      <c r="W283" s="6"/>
      <c r="X283" s="6"/>
      <c r="Y283" s="6"/>
      <c r="Z283" s="6"/>
    </row>
    <row r="284" ht="15.0" customHeight="1">
      <c r="A284" s="181"/>
      <c r="B284" s="181"/>
      <c r="C284" s="181"/>
      <c r="D284" s="181"/>
      <c r="E284" s="181"/>
      <c r="F284" s="181"/>
      <c r="G284" s="181"/>
      <c r="H284" s="181"/>
      <c r="I284" s="181"/>
      <c r="J284" s="181"/>
      <c r="K284" s="181"/>
      <c r="L284" s="181"/>
      <c r="M284" s="6"/>
      <c r="N284" s="6"/>
      <c r="O284" s="6"/>
      <c r="P284" s="6"/>
      <c r="Q284" s="6"/>
      <c r="R284" s="6"/>
      <c r="S284" s="6"/>
      <c r="T284" s="6"/>
      <c r="U284" s="6"/>
      <c r="V284" s="6"/>
      <c r="W284" s="6"/>
      <c r="X284" s="6"/>
      <c r="Y284" s="6"/>
      <c r="Z284" s="6"/>
    </row>
    <row r="285" ht="15.0" customHeight="1">
      <c r="A285" s="181"/>
      <c r="B285" s="181"/>
      <c r="C285" s="181"/>
      <c r="D285" s="181"/>
      <c r="E285" s="181"/>
      <c r="F285" s="181"/>
      <c r="G285" s="181"/>
      <c r="H285" s="181"/>
      <c r="I285" s="181"/>
      <c r="J285" s="181"/>
      <c r="K285" s="181"/>
      <c r="L285" s="181"/>
      <c r="M285" s="6"/>
      <c r="N285" s="6"/>
      <c r="O285" s="6"/>
      <c r="P285" s="6"/>
      <c r="Q285" s="6"/>
      <c r="R285" s="6"/>
      <c r="S285" s="6"/>
      <c r="T285" s="6"/>
      <c r="U285" s="6"/>
      <c r="V285" s="6"/>
      <c r="W285" s="6"/>
      <c r="X285" s="6"/>
      <c r="Y285" s="6"/>
      <c r="Z285" s="6"/>
    </row>
    <row r="286" ht="15.0" customHeight="1">
      <c r="A286" s="181"/>
      <c r="B286" s="181"/>
      <c r="C286" s="181"/>
      <c r="D286" s="181"/>
      <c r="E286" s="181"/>
      <c r="F286" s="181"/>
      <c r="G286" s="181"/>
      <c r="H286" s="181"/>
      <c r="I286" s="181"/>
      <c r="J286" s="181"/>
      <c r="K286" s="181"/>
      <c r="L286" s="181"/>
      <c r="M286" s="6"/>
      <c r="N286" s="6"/>
      <c r="O286" s="6"/>
      <c r="P286" s="6"/>
      <c r="Q286" s="6"/>
      <c r="R286" s="6"/>
      <c r="S286" s="6"/>
      <c r="T286" s="6"/>
      <c r="U286" s="6"/>
      <c r="V286" s="6"/>
      <c r="W286" s="6"/>
      <c r="X286" s="6"/>
      <c r="Y286" s="6"/>
      <c r="Z286" s="6"/>
    </row>
    <row r="287" ht="15.0" customHeight="1">
      <c r="A287" s="181"/>
      <c r="B287" s="181"/>
      <c r="C287" s="181"/>
      <c r="D287" s="181"/>
      <c r="E287" s="181"/>
      <c r="F287" s="181"/>
      <c r="G287" s="181"/>
      <c r="H287" s="181"/>
      <c r="I287" s="181"/>
      <c r="J287" s="181"/>
      <c r="K287" s="181"/>
      <c r="L287" s="181"/>
      <c r="M287" s="6"/>
      <c r="N287" s="6"/>
      <c r="O287" s="6"/>
      <c r="P287" s="6"/>
      <c r="Q287" s="6"/>
      <c r="R287" s="6"/>
      <c r="S287" s="6"/>
      <c r="T287" s="6"/>
      <c r="U287" s="6"/>
      <c r="V287" s="6"/>
      <c r="W287" s="6"/>
      <c r="X287" s="6"/>
      <c r="Y287" s="6"/>
      <c r="Z287" s="6"/>
    </row>
    <row r="288" ht="15.0" customHeight="1">
      <c r="A288" s="181"/>
      <c r="B288" s="181"/>
      <c r="C288" s="181"/>
      <c r="D288" s="181"/>
      <c r="E288" s="181"/>
      <c r="F288" s="181"/>
      <c r="G288" s="181"/>
      <c r="H288" s="181"/>
      <c r="I288" s="181"/>
      <c r="J288" s="181"/>
      <c r="K288" s="181"/>
      <c r="L288" s="181"/>
      <c r="M288" s="6"/>
      <c r="N288" s="6"/>
      <c r="O288" s="6"/>
      <c r="P288" s="6"/>
      <c r="Q288" s="6"/>
      <c r="R288" s="6"/>
      <c r="S288" s="6"/>
      <c r="T288" s="6"/>
      <c r="U288" s="6"/>
      <c r="V288" s="6"/>
      <c r="W288" s="6"/>
      <c r="X288" s="6"/>
      <c r="Y288" s="6"/>
      <c r="Z288" s="6"/>
    </row>
    <row r="289" ht="15.0" customHeight="1">
      <c r="A289" s="181"/>
      <c r="B289" s="181"/>
      <c r="C289" s="181"/>
      <c r="D289" s="181"/>
      <c r="E289" s="181"/>
      <c r="F289" s="181"/>
      <c r="G289" s="181"/>
      <c r="H289" s="181"/>
      <c r="I289" s="181"/>
      <c r="J289" s="181"/>
      <c r="K289" s="181"/>
      <c r="L289" s="181"/>
      <c r="M289" s="6"/>
      <c r="N289" s="6"/>
      <c r="O289" s="6"/>
      <c r="P289" s="6"/>
      <c r="Q289" s="6"/>
      <c r="R289" s="6"/>
      <c r="S289" s="6"/>
      <c r="T289" s="6"/>
      <c r="U289" s="6"/>
      <c r="V289" s="6"/>
      <c r="W289" s="6"/>
      <c r="X289" s="6"/>
      <c r="Y289" s="6"/>
      <c r="Z289" s="6"/>
    </row>
    <row r="290" ht="15.0" customHeight="1">
      <c r="A290" s="181"/>
      <c r="B290" s="181"/>
      <c r="C290" s="181"/>
      <c r="D290" s="181"/>
      <c r="E290" s="181"/>
      <c r="F290" s="181"/>
      <c r="G290" s="181"/>
      <c r="H290" s="181"/>
      <c r="I290" s="181"/>
      <c r="J290" s="181"/>
      <c r="K290" s="181"/>
      <c r="L290" s="181"/>
      <c r="M290" s="6"/>
      <c r="N290" s="6"/>
      <c r="O290" s="6"/>
      <c r="P290" s="6"/>
      <c r="Q290" s="6"/>
      <c r="R290" s="6"/>
      <c r="S290" s="6"/>
      <c r="T290" s="6"/>
      <c r="U290" s="6"/>
      <c r="V290" s="6"/>
      <c r="W290" s="6"/>
      <c r="X290" s="6"/>
      <c r="Y290" s="6"/>
      <c r="Z290" s="6"/>
    </row>
    <row r="291" ht="15.0" customHeight="1">
      <c r="A291" s="181"/>
      <c r="B291" s="181"/>
      <c r="C291" s="181"/>
      <c r="D291" s="181"/>
      <c r="E291" s="181"/>
      <c r="F291" s="181"/>
      <c r="G291" s="181"/>
      <c r="H291" s="181"/>
      <c r="I291" s="181"/>
      <c r="J291" s="181"/>
      <c r="K291" s="181"/>
      <c r="L291" s="181"/>
      <c r="M291" s="6"/>
      <c r="N291" s="6"/>
      <c r="O291" s="6"/>
      <c r="P291" s="6"/>
      <c r="Q291" s="6"/>
      <c r="R291" s="6"/>
      <c r="S291" s="6"/>
      <c r="T291" s="6"/>
      <c r="U291" s="6"/>
      <c r="V291" s="6"/>
      <c r="W291" s="6"/>
      <c r="X291" s="6"/>
      <c r="Y291" s="6"/>
      <c r="Z291" s="6"/>
    </row>
    <row r="292" ht="15.0" customHeight="1">
      <c r="A292" s="181"/>
      <c r="B292" s="181"/>
      <c r="C292" s="181"/>
      <c r="D292" s="181"/>
      <c r="E292" s="181"/>
      <c r="F292" s="181"/>
      <c r="G292" s="181"/>
      <c r="H292" s="181"/>
      <c r="I292" s="181"/>
      <c r="J292" s="181"/>
      <c r="K292" s="181"/>
      <c r="L292" s="181"/>
      <c r="M292" s="6"/>
      <c r="N292" s="6"/>
      <c r="O292" s="6"/>
      <c r="P292" s="6"/>
      <c r="Q292" s="6"/>
      <c r="R292" s="6"/>
      <c r="S292" s="6"/>
      <c r="T292" s="6"/>
      <c r="U292" s="6"/>
      <c r="V292" s="6"/>
      <c r="W292" s="6"/>
      <c r="X292" s="6"/>
      <c r="Y292" s="6"/>
      <c r="Z292" s="6"/>
    </row>
    <row r="293" ht="15.0" customHeight="1">
      <c r="A293" s="181"/>
      <c r="B293" s="181"/>
      <c r="C293" s="181"/>
      <c r="D293" s="181"/>
      <c r="E293" s="181"/>
      <c r="F293" s="181"/>
      <c r="G293" s="181"/>
      <c r="H293" s="181"/>
      <c r="I293" s="181"/>
      <c r="J293" s="181"/>
      <c r="K293" s="181"/>
      <c r="L293" s="181"/>
      <c r="M293" s="6"/>
      <c r="N293" s="6"/>
      <c r="O293" s="6"/>
      <c r="P293" s="6"/>
      <c r="Q293" s="6"/>
      <c r="R293" s="6"/>
      <c r="S293" s="6"/>
      <c r="T293" s="6"/>
      <c r="U293" s="6"/>
      <c r="V293" s="6"/>
      <c r="W293" s="6"/>
      <c r="X293" s="6"/>
      <c r="Y293" s="6"/>
      <c r="Z293" s="6"/>
    </row>
    <row r="294" ht="11.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1.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1.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1.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1.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1.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1.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1.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1.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1.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1.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1.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1.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1.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1.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1.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1.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1.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1.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1.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1.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1.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1.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1.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1.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1.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1.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1.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1.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1.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1.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1.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1.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1.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1.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1.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1.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1.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1.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1.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1.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1.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1.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1.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1.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1.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1.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1.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1.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1.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1.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1.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1.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1.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1.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1.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1.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1.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1.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1.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1.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1.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1.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1.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1.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1.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1.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1.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1.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1.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1.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1.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1.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1.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1.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1.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1.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1.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1.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1.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1.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1.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1.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1.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1.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1.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1.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1.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1.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1.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1.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1.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1.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1.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1.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1.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1.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1.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1.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1.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1.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1.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1.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1.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1.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1.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1.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1.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1.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1.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1.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1.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1.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1.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1.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1.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1.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1.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1.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1.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1.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1.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1.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1.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1.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1.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1.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1.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1.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1.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1.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1.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1.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1.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1.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1.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1.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1.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1.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1.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1.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1.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1.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1.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1.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1.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1.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1.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1.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1.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1.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1.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1.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1.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1.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1.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1.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1.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1.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1.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1.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1.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1.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1.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1.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1.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1.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1.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1.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1.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1.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1.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1.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1.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1.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1.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1.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1.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1.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1.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1.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1.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1.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1.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1.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1.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1.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1.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1.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1.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1.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1.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1.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1.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1.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1.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1.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1.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1.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1.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1.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1.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1.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1.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1.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1.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1.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1.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1.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1.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1.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1.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1.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1.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1.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1.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1.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1.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1.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1.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1.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1.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1.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1.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1.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1.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1.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1.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1.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1.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1.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1.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1.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1.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1.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1.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1.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1.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1.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1.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1.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1.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1.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1.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1.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1.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1.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1.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1.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1.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1.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1.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1.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1.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1.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1.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1.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1.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1.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1.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1.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1.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1.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1.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1.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1.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1.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1.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1.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1.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1.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1.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1.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1.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1.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1.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1.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1.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1.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1.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1.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1.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1.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1.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1.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1.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1.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1.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1.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1.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1.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1.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1.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1.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1.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1.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1.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1.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1.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1.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1.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1.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1.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1.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1.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1.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1.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1.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1.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1.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1.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1.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1.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1.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1.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1.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1.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1.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1.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1.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1.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1.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1.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1.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1.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1.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1.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1.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1.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1.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1.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1.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1.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1.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1.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1.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1.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1.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1.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1.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1.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1.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1.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1.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1.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1.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1.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1.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1.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1.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1.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1.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1.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1.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1.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1.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1.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1.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1.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1.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1.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1.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1.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1.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1.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1.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1.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1.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1.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1.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1.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1.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1.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1.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1.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1.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1.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1.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1.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1.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1.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1.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1.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1.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1.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1.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1.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1.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1.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1.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1.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1.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1.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1.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1.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1.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1.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1.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1.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1.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1.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1.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1.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1.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1.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1.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1.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1.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1.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1.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1.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1.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1.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1.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1.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1.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1.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1.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1.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1.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1.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1.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1.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1.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1.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1.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1.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1.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1.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1.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1.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1.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1.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1.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1.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1.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1.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1.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1.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1.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1.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1.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1.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1.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1.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1.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1.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1.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1.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1.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1.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1.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1.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1.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1.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1.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1.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1.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1.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1.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1.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1.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1.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1.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1.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1.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1.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1.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1.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1.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1.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1.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1.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1.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1.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1.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1.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1.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1.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1.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1.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1.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1.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1.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1.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1.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1.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1.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1.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1.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1.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1.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1.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1.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1.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1.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1.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1.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1.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1.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1.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1.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1.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1.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1.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1.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1.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1.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1.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1.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1.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1.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1.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1.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1.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1.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1.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1.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1.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1.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1.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1.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1.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1.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1.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1.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1.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1.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1.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1.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1.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1.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1.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1.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1.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1.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1.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1.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1.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1.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1.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1.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1.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1.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1.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1.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1.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1.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1.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1.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1.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1.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1.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1.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1.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1.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1.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1.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1.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1.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1.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1.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1.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1.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1.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1.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1.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1.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1.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1.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1.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1.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1.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1.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1.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1.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1.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1.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1.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1.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1.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1.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1.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1.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1.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1.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1.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1.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1.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1.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1.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1.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1.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1.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1.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1.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1.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1.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1.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1.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1.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1.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1.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1.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1.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1.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1.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1.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1.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1.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1.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1.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1.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1.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1.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1.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1.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1.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1.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1.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1.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1.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1.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1.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1.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1.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1.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1.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1.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1.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1.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1.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1.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1.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1.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1.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1.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1.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1.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1.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1.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1.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1.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1.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1.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1.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1.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1.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1.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1.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1.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1.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1.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1.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1.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1.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1.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1.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1.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1.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1.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1.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1.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1.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1.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1.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1.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1.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1.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1.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1.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1.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1.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1.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1.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1.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1.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1.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1.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1.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1.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1.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1.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1.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1.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1.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1.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1.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1.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1.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1.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1.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1.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1.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1.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1.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1.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1.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1.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1.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1.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1.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1.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1.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1.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1.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1.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portrait"/>
  <headerFooter>
    <oddFooter>&amp;C000000&amp;P</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6" width="6.67"/>
  </cols>
  <sheetData>
    <row r="1" ht="12.75" customHeight="1">
      <c r="A1" s="383"/>
      <c r="B1" s="4"/>
      <c r="C1" s="4"/>
      <c r="D1" s="4"/>
      <c r="E1" s="5"/>
      <c r="F1" s="6"/>
      <c r="G1" s="6"/>
      <c r="H1" s="6"/>
      <c r="I1" s="6"/>
      <c r="J1" s="6"/>
      <c r="K1" s="6"/>
      <c r="L1" s="6"/>
      <c r="M1" s="6"/>
      <c r="N1" s="6"/>
      <c r="O1" s="6"/>
      <c r="P1" s="6"/>
      <c r="Q1" s="6"/>
      <c r="R1" s="6"/>
      <c r="S1" s="6"/>
      <c r="T1" s="6"/>
      <c r="U1" s="6"/>
      <c r="V1" s="6"/>
      <c r="W1" s="6"/>
      <c r="X1" s="6"/>
      <c r="Y1" s="6"/>
      <c r="Z1" s="6"/>
    </row>
    <row r="2" ht="12.75" customHeight="1">
      <c r="A2" s="384"/>
      <c r="B2" s="9"/>
      <c r="C2" s="9"/>
      <c r="D2" s="9"/>
      <c r="E2" s="10"/>
      <c r="F2" s="6"/>
      <c r="G2" s="6"/>
      <c r="H2" s="6"/>
      <c r="I2" s="6"/>
      <c r="J2" s="6"/>
      <c r="K2" s="6"/>
      <c r="L2" s="6"/>
      <c r="M2" s="6"/>
      <c r="N2" s="6"/>
      <c r="O2" s="6"/>
      <c r="P2" s="6"/>
      <c r="Q2" s="6"/>
      <c r="R2" s="6"/>
      <c r="S2" s="6"/>
      <c r="T2" s="6"/>
      <c r="U2" s="6"/>
      <c r="V2" s="6"/>
      <c r="W2" s="6"/>
      <c r="X2" s="6"/>
      <c r="Y2" s="6"/>
      <c r="Z2" s="6"/>
    </row>
    <row r="3" ht="12.75" customHeight="1">
      <c r="A3" s="384"/>
      <c r="B3" s="9"/>
      <c r="C3" s="9"/>
      <c r="D3" s="9"/>
      <c r="E3" s="10"/>
      <c r="F3" s="6"/>
      <c r="G3" s="6"/>
      <c r="H3" s="6"/>
      <c r="I3" s="6"/>
      <c r="J3" s="6"/>
      <c r="K3" s="6"/>
      <c r="L3" s="6"/>
      <c r="M3" s="6"/>
      <c r="N3" s="6"/>
      <c r="O3" s="6"/>
      <c r="P3" s="6"/>
      <c r="Q3" s="6"/>
      <c r="R3" s="6"/>
      <c r="S3" s="6"/>
      <c r="T3" s="6"/>
      <c r="U3" s="6"/>
      <c r="V3" s="6"/>
      <c r="W3" s="6"/>
      <c r="X3" s="6"/>
      <c r="Y3" s="6"/>
      <c r="Z3" s="6"/>
    </row>
    <row r="4" ht="12.75" customHeight="1">
      <c r="A4" s="384"/>
      <c r="B4" s="9"/>
      <c r="C4" s="9"/>
      <c r="D4" s="9"/>
      <c r="E4" s="10"/>
      <c r="F4" s="6"/>
      <c r="G4" s="6"/>
      <c r="H4" s="6"/>
      <c r="I4" s="6"/>
      <c r="J4" s="6"/>
      <c r="K4" s="6"/>
      <c r="L4" s="6"/>
      <c r="M4" s="6"/>
      <c r="N4" s="6"/>
      <c r="O4" s="6"/>
      <c r="P4" s="6"/>
      <c r="Q4" s="6"/>
      <c r="R4" s="6"/>
      <c r="S4" s="6"/>
      <c r="T4" s="6"/>
      <c r="U4" s="6"/>
      <c r="V4" s="6"/>
      <c r="W4" s="6"/>
      <c r="X4" s="6"/>
      <c r="Y4" s="6"/>
      <c r="Z4" s="6"/>
    </row>
    <row r="5" ht="12.75" customHeight="1">
      <c r="A5" s="384"/>
      <c r="B5" s="9"/>
      <c r="C5" s="9"/>
      <c r="D5" s="9"/>
      <c r="E5" s="10"/>
      <c r="F5" s="6"/>
      <c r="G5" s="6"/>
      <c r="H5" s="6"/>
      <c r="I5" s="6"/>
      <c r="J5" s="6"/>
      <c r="K5" s="6"/>
      <c r="L5" s="6"/>
      <c r="M5" s="6"/>
      <c r="N5" s="6"/>
      <c r="O5" s="6"/>
      <c r="P5" s="6"/>
      <c r="Q5" s="6"/>
      <c r="R5" s="6"/>
      <c r="S5" s="6"/>
      <c r="T5" s="6"/>
      <c r="U5" s="6"/>
      <c r="V5" s="6"/>
      <c r="W5" s="6"/>
      <c r="X5" s="6"/>
      <c r="Y5" s="6"/>
      <c r="Z5" s="6"/>
    </row>
    <row r="6" ht="12.75" customHeight="1">
      <c r="A6" s="384"/>
      <c r="B6" s="9"/>
      <c r="C6" s="9"/>
      <c r="D6" s="9"/>
      <c r="E6" s="10"/>
      <c r="F6" s="6"/>
      <c r="G6" s="6"/>
      <c r="H6" s="6"/>
      <c r="I6" s="6"/>
      <c r="J6" s="6"/>
      <c r="K6" s="6"/>
      <c r="L6" s="6"/>
      <c r="M6" s="6"/>
      <c r="N6" s="6"/>
      <c r="O6" s="6"/>
      <c r="P6" s="6"/>
      <c r="Q6" s="6"/>
      <c r="R6" s="6"/>
      <c r="S6" s="6"/>
      <c r="T6" s="6"/>
      <c r="U6" s="6"/>
      <c r="V6" s="6"/>
      <c r="W6" s="6"/>
      <c r="X6" s="6"/>
      <c r="Y6" s="6"/>
      <c r="Z6" s="6"/>
    </row>
    <row r="7" ht="12.75" customHeight="1">
      <c r="A7" s="384"/>
      <c r="B7" s="9"/>
      <c r="C7" s="9"/>
      <c r="D7" s="9"/>
      <c r="E7" s="10"/>
      <c r="F7" s="6"/>
      <c r="G7" s="6"/>
      <c r="H7" s="6"/>
      <c r="I7" s="6"/>
      <c r="J7" s="6"/>
      <c r="K7" s="6"/>
      <c r="L7" s="6"/>
      <c r="M7" s="6"/>
      <c r="N7" s="6"/>
      <c r="O7" s="6"/>
      <c r="P7" s="6"/>
      <c r="Q7" s="6"/>
      <c r="R7" s="6"/>
      <c r="S7" s="6"/>
      <c r="T7" s="6"/>
      <c r="U7" s="6"/>
      <c r="V7" s="6"/>
      <c r="W7" s="6"/>
      <c r="X7" s="6"/>
      <c r="Y7" s="6"/>
      <c r="Z7" s="6"/>
    </row>
    <row r="8" ht="12.75" customHeight="1">
      <c r="A8" s="384"/>
      <c r="B8" s="9"/>
      <c r="C8" s="9"/>
      <c r="D8" s="9"/>
      <c r="E8" s="10"/>
      <c r="F8" s="6"/>
      <c r="G8" s="6"/>
      <c r="H8" s="6"/>
      <c r="I8" s="6"/>
      <c r="J8" s="6"/>
      <c r="K8" s="6"/>
      <c r="L8" s="6"/>
      <c r="M8" s="6"/>
      <c r="N8" s="6"/>
      <c r="O8" s="6"/>
      <c r="P8" s="6"/>
      <c r="Q8" s="6"/>
      <c r="R8" s="6"/>
      <c r="S8" s="6"/>
      <c r="T8" s="6"/>
      <c r="U8" s="6"/>
      <c r="V8" s="6"/>
      <c r="W8" s="6"/>
      <c r="X8" s="6"/>
      <c r="Y8" s="6"/>
      <c r="Z8" s="6"/>
    </row>
    <row r="9" ht="12.75" customHeight="1">
      <c r="A9" s="384"/>
      <c r="B9" s="9"/>
      <c r="C9" s="9"/>
      <c r="D9" s="9"/>
      <c r="E9" s="10"/>
      <c r="F9" s="6"/>
      <c r="G9" s="6"/>
      <c r="H9" s="6"/>
      <c r="I9" s="6"/>
      <c r="J9" s="6"/>
      <c r="K9" s="6"/>
      <c r="L9" s="6"/>
      <c r="M9" s="6"/>
      <c r="N9" s="6"/>
      <c r="O9" s="6"/>
      <c r="P9" s="6"/>
      <c r="Q9" s="6"/>
      <c r="R9" s="6"/>
      <c r="S9" s="6"/>
      <c r="T9" s="6"/>
      <c r="U9" s="6"/>
      <c r="V9" s="6"/>
      <c r="W9" s="6"/>
      <c r="X9" s="6"/>
      <c r="Y9" s="6"/>
      <c r="Z9" s="6"/>
    </row>
    <row r="10" ht="12.75" customHeight="1">
      <c r="A10" s="385"/>
      <c r="B10" s="16"/>
      <c r="C10" s="16"/>
      <c r="D10" s="16"/>
      <c r="E10" s="17"/>
      <c r="F10" s="6"/>
      <c r="G10" s="6"/>
      <c r="H10" s="6"/>
      <c r="I10" s="6"/>
      <c r="J10" s="6"/>
      <c r="K10" s="6"/>
      <c r="L10" s="6"/>
      <c r="M10" s="6"/>
      <c r="N10" s="6"/>
      <c r="O10" s="6"/>
      <c r="P10" s="6"/>
      <c r="Q10" s="6"/>
      <c r="R10" s="6"/>
      <c r="S10" s="6"/>
      <c r="T10" s="6"/>
      <c r="U10" s="6"/>
      <c r="V10" s="6"/>
      <c r="W10" s="6"/>
      <c r="X10" s="6"/>
      <c r="Y10" s="6"/>
      <c r="Z10" s="6"/>
    </row>
    <row r="11" ht="12.75" customHeight="1">
      <c r="A11" s="6"/>
      <c r="B11" s="6"/>
      <c r="C11" s="6"/>
      <c r="D11" s="6"/>
      <c r="E11" s="6"/>
      <c r="F11" s="6"/>
      <c r="G11" s="6"/>
      <c r="H11" s="6"/>
      <c r="I11" s="6"/>
      <c r="J11" s="6"/>
      <c r="K11" s="6"/>
      <c r="L11" s="6"/>
      <c r="M11" s="6"/>
      <c r="N11" s="6"/>
      <c r="O11" s="6"/>
      <c r="P11" s="6"/>
      <c r="Q11" s="6"/>
      <c r="R11" s="6"/>
      <c r="S11" s="6"/>
      <c r="T11" s="6"/>
      <c r="U11" s="6"/>
      <c r="V11" s="6"/>
      <c r="W11" s="6"/>
      <c r="X11" s="6"/>
      <c r="Y11" s="6"/>
      <c r="Z11" s="6"/>
    </row>
    <row r="12" ht="12.75" customHeight="1">
      <c r="A12" s="6"/>
      <c r="B12" s="6"/>
      <c r="C12" s="6"/>
      <c r="D12" s="6"/>
      <c r="E12" s="6"/>
      <c r="F12" s="6"/>
      <c r="G12" s="6"/>
      <c r="H12" s="6"/>
      <c r="I12" s="6"/>
      <c r="J12" s="6"/>
      <c r="K12" s="6"/>
      <c r="L12" s="6"/>
      <c r="M12" s="6"/>
      <c r="N12" s="6"/>
      <c r="O12" s="6"/>
      <c r="P12" s="6"/>
      <c r="Q12" s="6"/>
      <c r="R12" s="6"/>
      <c r="S12" s="6"/>
      <c r="T12" s="6"/>
      <c r="U12" s="6"/>
      <c r="V12" s="6"/>
      <c r="W12" s="6"/>
      <c r="X12" s="6"/>
      <c r="Y12" s="6"/>
      <c r="Z12" s="6"/>
    </row>
    <row r="13" ht="12.75" customHeight="1">
      <c r="A13" s="6"/>
      <c r="B13" s="6"/>
      <c r="C13" s="6"/>
      <c r="D13" s="6"/>
      <c r="E13" s="6"/>
      <c r="F13" s="6"/>
      <c r="G13" s="6"/>
      <c r="H13" s="6"/>
      <c r="I13" s="6"/>
      <c r="J13" s="6"/>
      <c r="K13" s="6"/>
      <c r="L13" s="6"/>
      <c r="M13" s="6"/>
      <c r="N13" s="6"/>
      <c r="O13" s="6"/>
      <c r="P13" s="6"/>
      <c r="Q13" s="6"/>
      <c r="R13" s="6"/>
      <c r="S13" s="6"/>
      <c r="T13" s="6"/>
      <c r="U13" s="6"/>
      <c r="V13" s="6"/>
      <c r="W13" s="6"/>
      <c r="X13" s="6"/>
      <c r="Y13" s="6"/>
      <c r="Z13" s="6"/>
    </row>
    <row r="14" ht="12.75" customHeight="1">
      <c r="A14" s="6"/>
      <c r="B14" s="6"/>
      <c r="C14" s="6"/>
      <c r="D14" s="6"/>
      <c r="E14" s="6"/>
      <c r="F14" s="6"/>
      <c r="G14" s="6"/>
      <c r="H14" s="6"/>
      <c r="I14" s="6"/>
      <c r="J14" s="6"/>
      <c r="K14" s="6"/>
      <c r="L14" s="6"/>
      <c r="M14" s="6"/>
      <c r="N14" s="6"/>
      <c r="O14" s="6"/>
      <c r="P14" s="6"/>
      <c r="Q14" s="6"/>
      <c r="R14" s="6"/>
      <c r="S14" s="6"/>
      <c r="T14" s="6"/>
      <c r="U14" s="6"/>
      <c r="V14" s="6"/>
      <c r="W14" s="6"/>
      <c r="X14" s="6"/>
      <c r="Y14" s="6"/>
      <c r="Z14" s="6"/>
    </row>
    <row r="15" ht="12.75" customHeight="1">
      <c r="A15" s="6"/>
      <c r="B15" s="6"/>
      <c r="C15" s="6"/>
      <c r="D15" s="6"/>
      <c r="E15" s="6"/>
      <c r="F15" s="6"/>
      <c r="G15" s="6"/>
      <c r="H15" s="6"/>
      <c r="I15" s="6"/>
      <c r="J15" s="6"/>
      <c r="K15" s="6"/>
      <c r="L15" s="6"/>
      <c r="M15" s="6"/>
      <c r="N15" s="6"/>
      <c r="O15" s="6"/>
      <c r="P15" s="6"/>
      <c r="Q15" s="6"/>
      <c r="R15" s="6"/>
      <c r="S15" s="6"/>
      <c r="T15" s="6"/>
      <c r="U15" s="6"/>
      <c r="V15" s="6"/>
      <c r="W15" s="6"/>
      <c r="X15" s="6"/>
      <c r="Y15" s="6"/>
      <c r="Z15" s="6"/>
    </row>
    <row r="16" ht="12.75" customHeight="1">
      <c r="A16" s="6"/>
      <c r="B16" s="6"/>
      <c r="C16" s="6"/>
      <c r="D16" s="6"/>
      <c r="E16" s="6"/>
      <c r="F16" s="6"/>
      <c r="G16" s="6"/>
      <c r="H16" s="6"/>
      <c r="I16" s="6"/>
      <c r="J16" s="6"/>
      <c r="K16" s="6"/>
      <c r="L16" s="6"/>
      <c r="M16" s="6"/>
      <c r="N16" s="6"/>
      <c r="O16" s="6"/>
      <c r="P16" s="6"/>
      <c r="Q16" s="6"/>
      <c r="R16" s="6"/>
      <c r="S16" s="6"/>
      <c r="T16" s="6"/>
      <c r="U16" s="6"/>
      <c r="V16" s="6"/>
      <c r="W16" s="6"/>
      <c r="X16" s="6"/>
      <c r="Y16" s="6"/>
      <c r="Z16" s="6"/>
    </row>
    <row r="17" ht="12.75" customHeight="1">
      <c r="A17" s="6"/>
      <c r="B17" s="6"/>
      <c r="C17" s="6"/>
      <c r="D17" s="6"/>
      <c r="E17" s="6"/>
      <c r="F17" s="6"/>
      <c r="G17" s="6"/>
      <c r="H17" s="6"/>
      <c r="I17" s="6"/>
      <c r="J17" s="6"/>
      <c r="K17" s="6"/>
      <c r="L17" s="6"/>
      <c r="M17" s="6"/>
      <c r="N17" s="6"/>
      <c r="O17" s="6"/>
      <c r="P17" s="6"/>
      <c r="Q17" s="6"/>
      <c r="R17" s="6"/>
      <c r="S17" s="6"/>
      <c r="T17" s="6"/>
      <c r="U17" s="6"/>
      <c r="V17" s="6"/>
      <c r="W17" s="6"/>
      <c r="X17" s="6"/>
      <c r="Y17" s="6"/>
      <c r="Z17" s="6"/>
    </row>
    <row r="18" ht="12.75" customHeight="1">
      <c r="A18" s="6"/>
      <c r="B18" s="6"/>
      <c r="C18" s="6"/>
      <c r="D18" s="6"/>
      <c r="E18" s="6"/>
      <c r="F18" s="6"/>
      <c r="G18" s="6"/>
      <c r="H18" s="6"/>
      <c r="I18" s="6"/>
      <c r="J18" s="6"/>
      <c r="K18" s="6"/>
      <c r="L18" s="6"/>
      <c r="M18" s="6"/>
      <c r="N18" s="6"/>
      <c r="O18" s="6"/>
      <c r="P18" s="6"/>
      <c r="Q18" s="6"/>
      <c r="R18" s="6"/>
      <c r="S18" s="6"/>
      <c r="T18" s="6"/>
      <c r="U18" s="6"/>
      <c r="V18" s="6"/>
      <c r="W18" s="6"/>
      <c r="X18" s="6"/>
      <c r="Y18" s="6"/>
      <c r="Z18" s="6"/>
    </row>
    <row r="19" ht="12.75" customHeight="1">
      <c r="A19" s="6"/>
      <c r="B19" s="6"/>
      <c r="C19" s="6"/>
      <c r="D19" s="6"/>
      <c r="E19" s="6"/>
      <c r="F19" s="6"/>
      <c r="G19" s="6"/>
      <c r="H19" s="6"/>
      <c r="I19" s="6"/>
      <c r="J19" s="6"/>
      <c r="K19" s="6"/>
      <c r="L19" s="6"/>
      <c r="M19" s="6"/>
      <c r="N19" s="6"/>
      <c r="O19" s="6"/>
      <c r="P19" s="6"/>
      <c r="Q19" s="6"/>
      <c r="R19" s="6"/>
      <c r="S19" s="6"/>
      <c r="T19" s="6"/>
      <c r="U19" s="6"/>
      <c r="V19" s="6"/>
      <c r="W19" s="6"/>
      <c r="X19" s="6"/>
      <c r="Y19" s="6"/>
      <c r="Z19" s="6"/>
    </row>
    <row r="20" ht="12.75" customHeight="1">
      <c r="A20" s="6"/>
      <c r="B20" s="6"/>
      <c r="C20" s="6"/>
      <c r="D20" s="6"/>
      <c r="E20" s="6"/>
      <c r="F20" s="6"/>
      <c r="G20" s="6"/>
      <c r="H20" s="6"/>
      <c r="I20" s="6"/>
      <c r="J20" s="6"/>
      <c r="K20" s="6"/>
      <c r="L20" s="6"/>
      <c r="M20" s="6"/>
      <c r="N20" s="6"/>
      <c r="O20" s="6"/>
      <c r="P20" s="6"/>
      <c r="Q20" s="6"/>
      <c r="R20" s="6"/>
      <c r="S20" s="6"/>
      <c r="T20" s="6"/>
      <c r="U20" s="6"/>
      <c r="V20" s="6"/>
      <c r="W20" s="6"/>
      <c r="X20" s="6"/>
      <c r="Y20" s="6"/>
      <c r="Z20" s="6"/>
    </row>
    <row r="21" ht="12.75" customHeight="1">
      <c r="A21" s="6"/>
      <c r="B21" s="6"/>
      <c r="C21" s="6"/>
      <c r="D21" s="6"/>
      <c r="E21" s="6"/>
      <c r="F21" s="6"/>
      <c r="G21" s="6"/>
      <c r="H21" s="6"/>
      <c r="I21" s="6"/>
      <c r="J21" s="6"/>
      <c r="K21" s="6"/>
      <c r="L21" s="6"/>
      <c r="M21" s="6"/>
      <c r="N21" s="6"/>
      <c r="O21" s="6"/>
      <c r="P21" s="6"/>
      <c r="Q21" s="6"/>
      <c r="R21" s="6"/>
      <c r="S21" s="6"/>
      <c r="T21" s="6"/>
      <c r="U21" s="6"/>
      <c r="V21" s="6"/>
      <c r="W21" s="6"/>
      <c r="X21" s="6"/>
      <c r="Y21" s="6"/>
      <c r="Z21" s="6"/>
    </row>
    <row r="22" ht="12.7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ht="12.7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2.7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ht="12.7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ht="12.7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2.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ht="12.7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2.7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2.7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2.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2.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2.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2.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2.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2.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2.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2.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2.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2.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2.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2.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2.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2.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2.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2.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2.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2.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2.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2.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2.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2.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2.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portrait"/>
  <headerFooter>
    <oddFooter>&amp;C000000&amp;P</oddFooter>
  </headerFooter>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 width="10.67"/>
    <col customWidth="1" min="3" max="3" width="93.22"/>
    <col customWidth="1" min="4" max="26" width="10.67"/>
  </cols>
  <sheetData>
    <row r="1" ht="36.0" customHeight="1">
      <c r="A1" s="18" t="s">
        <v>3147</v>
      </c>
      <c r="B1" s="40"/>
      <c r="C1" s="14"/>
      <c r="D1" s="386"/>
      <c r="E1" s="387"/>
      <c r="F1" s="387"/>
      <c r="G1" s="387"/>
      <c r="H1" s="387"/>
      <c r="I1" s="388"/>
      <c r="J1" s="24"/>
      <c r="K1" s="24"/>
      <c r="L1" s="24"/>
      <c r="M1" s="24"/>
      <c r="N1" s="24"/>
      <c r="O1" s="24"/>
      <c r="P1" s="24"/>
      <c r="Q1" s="24"/>
      <c r="R1" s="24"/>
      <c r="S1" s="24"/>
      <c r="T1" s="24"/>
      <c r="U1" s="24"/>
      <c r="V1" s="24"/>
      <c r="W1" s="24"/>
      <c r="X1" s="6"/>
      <c r="Y1" s="6"/>
      <c r="Z1" s="6"/>
    </row>
    <row r="2" ht="25.5" customHeight="1">
      <c r="A2" s="42" t="s">
        <v>37</v>
      </c>
      <c r="B2" s="40"/>
      <c r="C2" s="14"/>
      <c r="D2" s="19"/>
      <c r="E2" s="20"/>
      <c r="F2" s="20"/>
      <c r="G2" s="20"/>
      <c r="H2" s="20"/>
      <c r="I2" s="388"/>
      <c r="J2" s="24"/>
      <c r="K2" s="24"/>
      <c r="L2" s="24"/>
      <c r="M2" s="24"/>
      <c r="N2" s="24"/>
      <c r="O2" s="24"/>
      <c r="P2" s="24"/>
      <c r="Q2" s="24"/>
      <c r="R2" s="24"/>
      <c r="S2" s="24"/>
      <c r="T2" s="24"/>
      <c r="U2" s="24"/>
      <c r="V2" s="24"/>
      <c r="W2" s="24"/>
      <c r="X2" s="6"/>
      <c r="Y2" s="6"/>
      <c r="Z2" s="6"/>
    </row>
    <row r="3" ht="24.0" customHeight="1">
      <c r="A3" s="389" t="s">
        <v>3148</v>
      </c>
      <c r="B3" s="390" t="s">
        <v>39</v>
      </c>
      <c r="C3" s="389" t="s">
        <v>3149</v>
      </c>
      <c r="D3" s="391"/>
      <c r="E3" s="392"/>
      <c r="F3" s="392"/>
      <c r="G3" s="392"/>
      <c r="H3" s="392"/>
      <c r="I3" s="392"/>
      <c r="J3" s="392"/>
      <c r="K3" s="392"/>
      <c r="L3" s="392"/>
      <c r="M3" s="392"/>
      <c r="N3" s="392"/>
      <c r="O3" s="392"/>
      <c r="P3" s="392"/>
      <c r="Q3" s="392"/>
      <c r="R3" s="392"/>
      <c r="S3" s="392"/>
      <c r="T3" s="392"/>
      <c r="U3" s="392"/>
      <c r="V3" s="392"/>
      <c r="W3" s="392"/>
      <c r="X3" s="6"/>
      <c r="Y3" s="6"/>
      <c r="Z3" s="6"/>
    </row>
    <row r="4" ht="36.0" customHeight="1">
      <c r="A4" s="146" t="s">
        <v>3150</v>
      </c>
      <c r="B4" s="393">
        <v>42586.0</v>
      </c>
      <c r="C4" s="146" t="s">
        <v>3151</v>
      </c>
      <c r="D4" s="19"/>
      <c r="E4" s="20"/>
      <c r="F4" s="20"/>
      <c r="G4" s="20"/>
      <c r="H4" s="20"/>
      <c r="I4" s="20"/>
      <c r="J4" s="20"/>
      <c r="K4" s="20"/>
      <c r="L4" s="20"/>
      <c r="M4" s="20"/>
      <c r="N4" s="20"/>
      <c r="O4" s="20"/>
      <c r="P4" s="20"/>
      <c r="Q4" s="20"/>
      <c r="R4" s="20"/>
      <c r="S4" s="20"/>
      <c r="T4" s="20"/>
      <c r="U4" s="20"/>
      <c r="V4" s="20"/>
      <c r="W4" s="20"/>
      <c r="X4" s="6"/>
      <c r="Y4" s="6"/>
      <c r="Z4" s="6"/>
    </row>
    <row r="5" ht="36.0" customHeight="1">
      <c r="A5" s="146" t="s">
        <v>3152</v>
      </c>
      <c r="B5" s="393">
        <v>42596.0</v>
      </c>
      <c r="C5" s="146" t="s">
        <v>3153</v>
      </c>
      <c r="D5" s="19"/>
      <c r="E5" s="20"/>
      <c r="F5" s="20"/>
      <c r="G5" s="20"/>
      <c r="H5" s="20"/>
      <c r="I5" s="20"/>
      <c r="J5" s="20"/>
      <c r="K5" s="20"/>
      <c r="L5" s="20"/>
      <c r="M5" s="20"/>
      <c r="N5" s="20"/>
      <c r="O5" s="20"/>
      <c r="P5" s="20"/>
      <c r="Q5" s="20"/>
      <c r="R5" s="20"/>
      <c r="S5" s="20"/>
      <c r="T5" s="20"/>
      <c r="U5" s="20"/>
      <c r="V5" s="20"/>
      <c r="W5" s="20"/>
      <c r="X5" s="6"/>
      <c r="Y5" s="6"/>
      <c r="Z5" s="6"/>
    </row>
    <row r="6" ht="36.0" customHeight="1">
      <c r="A6" s="146" t="s">
        <v>3154</v>
      </c>
      <c r="B6" s="393">
        <v>42597.0</v>
      </c>
      <c r="C6" s="146" t="s">
        <v>3155</v>
      </c>
      <c r="D6" s="19"/>
      <c r="E6" s="20"/>
      <c r="F6" s="20"/>
      <c r="G6" s="20"/>
      <c r="H6" s="20"/>
      <c r="I6" s="20"/>
      <c r="J6" s="20"/>
      <c r="K6" s="20"/>
      <c r="L6" s="20"/>
      <c r="M6" s="20"/>
      <c r="N6" s="20"/>
      <c r="O6" s="20"/>
      <c r="P6" s="20"/>
      <c r="Q6" s="20"/>
      <c r="R6" s="20"/>
      <c r="S6" s="20"/>
      <c r="T6" s="20"/>
      <c r="U6" s="20"/>
      <c r="V6" s="20"/>
      <c r="W6" s="20"/>
      <c r="X6" s="6"/>
      <c r="Y6" s="6"/>
      <c r="Z6" s="6"/>
    </row>
    <row r="7" ht="36.0" customHeight="1">
      <c r="A7" s="146" t="s">
        <v>3156</v>
      </c>
      <c r="B7" s="393">
        <v>42598.0</v>
      </c>
      <c r="C7" s="146" t="s">
        <v>3157</v>
      </c>
      <c r="D7" s="19"/>
      <c r="E7" s="20"/>
      <c r="F7" s="20"/>
      <c r="G7" s="20"/>
      <c r="H7" s="20"/>
      <c r="I7" s="20"/>
      <c r="J7" s="20"/>
      <c r="K7" s="20"/>
      <c r="L7" s="20"/>
      <c r="M7" s="20"/>
      <c r="N7" s="20"/>
      <c r="O7" s="20"/>
      <c r="P7" s="20"/>
      <c r="Q7" s="20"/>
      <c r="R7" s="20"/>
      <c r="S7" s="20"/>
      <c r="T7" s="20"/>
      <c r="U7" s="20"/>
      <c r="V7" s="20"/>
      <c r="W7" s="20"/>
      <c r="X7" s="6"/>
      <c r="Y7" s="6"/>
      <c r="Z7" s="6"/>
    </row>
    <row r="8" ht="36.0" customHeight="1">
      <c r="A8" s="146" t="s">
        <v>3158</v>
      </c>
      <c r="B8" s="393">
        <v>42606.0</v>
      </c>
      <c r="C8" s="146" t="s">
        <v>3159</v>
      </c>
      <c r="D8" s="19"/>
      <c r="E8" s="20"/>
      <c r="F8" s="20"/>
      <c r="G8" s="20"/>
      <c r="H8" s="20"/>
      <c r="I8" s="20"/>
      <c r="J8" s="20"/>
      <c r="K8" s="20"/>
      <c r="L8" s="20"/>
      <c r="M8" s="20"/>
      <c r="N8" s="20"/>
      <c r="O8" s="20"/>
      <c r="P8" s="20"/>
      <c r="Q8" s="20"/>
      <c r="R8" s="20"/>
      <c r="S8" s="20"/>
      <c r="T8" s="20"/>
      <c r="U8" s="20"/>
      <c r="V8" s="20"/>
      <c r="W8" s="20"/>
      <c r="X8" s="6"/>
      <c r="Y8" s="6"/>
      <c r="Z8" s="6"/>
    </row>
    <row r="9" ht="36.0" customHeight="1">
      <c r="A9" s="146" t="s">
        <v>3160</v>
      </c>
      <c r="B9" s="393">
        <v>42607.0</v>
      </c>
      <c r="C9" s="146" t="s">
        <v>3161</v>
      </c>
      <c r="D9" s="19"/>
      <c r="E9" s="20"/>
      <c r="F9" s="20"/>
      <c r="G9" s="20"/>
      <c r="H9" s="20"/>
      <c r="I9" s="20"/>
      <c r="J9" s="20"/>
      <c r="K9" s="20"/>
      <c r="L9" s="20"/>
      <c r="M9" s="20"/>
      <c r="N9" s="20"/>
      <c r="O9" s="20"/>
      <c r="P9" s="20"/>
      <c r="Q9" s="20"/>
      <c r="R9" s="20"/>
      <c r="S9" s="20"/>
      <c r="T9" s="20"/>
      <c r="U9" s="20"/>
      <c r="V9" s="20"/>
      <c r="W9" s="20"/>
      <c r="X9" s="6"/>
      <c r="Y9" s="6"/>
      <c r="Z9" s="6"/>
    </row>
    <row r="10" ht="36.0" customHeight="1">
      <c r="A10" s="146" t="s">
        <v>3162</v>
      </c>
      <c r="B10" s="393">
        <v>42608.0</v>
      </c>
      <c r="C10" s="146" t="s">
        <v>3163</v>
      </c>
      <c r="D10" s="19"/>
      <c r="E10" s="20"/>
      <c r="F10" s="20"/>
      <c r="G10" s="20"/>
      <c r="H10" s="20"/>
      <c r="I10" s="20"/>
      <c r="J10" s="20"/>
      <c r="K10" s="20"/>
      <c r="L10" s="20"/>
      <c r="M10" s="20"/>
      <c r="N10" s="20"/>
      <c r="O10" s="20"/>
      <c r="P10" s="20"/>
      <c r="Q10" s="20"/>
      <c r="R10" s="20"/>
      <c r="S10" s="20"/>
      <c r="T10" s="20"/>
      <c r="U10" s="20"/>
      <c r="V10" s="20"/>
      <c r="W10" s="20"/>
      <c r="X10" s="6"/>
      <c r="Y10" s="6"/>
      <c r="Z10" s="6"/>
    </row>
    <row r="11" ht="36.0" customHeight="1">
      <c r="A11" s="146" t="s">
        <v>3164</v>
      </c>
      <c r="B11" s="393">
        <v>42608.0</v>
      </c>
      <c r="C11" s="146" t="s">
        <v>3165</v>
      </c>
      <c r="D11" s="19"/>
      <c r="E11" s="20"/>
      <c r="F11" s="20"/>
      <c r="G11" s="20"/>
      <c r="H11" s="20"/>
      <c r="I11" s="20"/>
      <c r="J11" s="20"/>
      <c r="K11" s="20"/>
      <c r="L11" s="20"/>
      <c r="M11" s="20"/>
      <c r="N11" s="20"/>
      <c r="O11" s="20"/>
      <c r="P11" s="20"/>
      <c r="Q11" s="20"/>
      <c r="R11" s="20"/>
      <c r="S11" s="20"/>
      <c r="T11" s="20"/>
      <c r="U11" s="20"/>
      <c r="V11" s="20"/>
      <c r="W11" s="20"/>
      <c r="X11" s="6"/>
      <c r="Y11" s="6"/>
      <c r="Z11" s="6"/>
    </row>
    <row r="12" ht="36.0" customHeight="1">
      <c r="A12" s="146" t="s">
        <v>3166</v>
      </c>
      <c r="B12" s="393">
        <v>42634.0</v>
      </c>
      <c r="C12" s="146" t="s">
        <v>3167</v>
      </c>
      <c r="D12" s="19"/>
      <c r="E12" s="20"/>
      <c r="F12" s="20"/>
      <c r="G12" s="20"/>
      <c r="H12" s="20"/>
      <c r="I12" s="20"/>
      <c r="J12" s="20"/>
      <c r="K12" s="20"/>
      <c r="L12" s="20"/>
      <c r="M12" s="20"/>
      <c r="N12" s="20"/>
      <c r="O12" s="20"/>
      <c r="P12" s="20"/>
      <c r="Q12" s="20"/>
      <c r="R12" s="20"/>
      <c r="S12" s="20"/>
      <c r="T12" s="20"/>
      <c r="U12" s="20"/>
      <c r="V12" s="20"/>
      <c r="W12" s="20"/>
      <c r="X12" s="6"/>
      <c r="Y12" s="6"/>
      <c r="Z12" s="6"/>
    </row>
    <row r="13" ht="36.0" customHeight="1">
      <c r="A13" s="146" t="s">
        <v>3168</v>
      </c>
      <c r="B13" s="393">
        <v>42636.0</v>
      </c>
      <c r="C13" s="146" t="s">
        <v>3169</v>
      </c>
      <c r="D13" s="19"/>
      <c r="E13" s="20"/>
      <c r="F13" s="20"/>
      <c r="G13" s="20"/>
      <c r="H13" s="20"/>
      <c r="I13" s="20"/>
      <c r="J13" s="20"/>
      <c r="K13" s="20"/>
      <c r="L13" s="20"/>
      <c r="M13" s="20"/>
      <c r="N13" s="20"/>
      <c r="O13" s="20"/>
      <c r="P13" s="20"/>
      <c r="Q13" s="20"/>
      <c r="R13" s="20"/>
      <c r="S13" s="20"/>
      <c r="T13" s="20"/>
      <c r="U13" s="20"/>
      <c r="V13" s="20"/>
      <c r="W13" s="20"/>
      <c r="X13" s="6"/>
      <c r="Y13" s="6"/>
      <c r="Z13" s="6"/>
    </row>
    <row r="14" ht="36.0" customHeight="1">
      <c r="A14" s="146" t="s">
        <v>3170</v>
      </c>
      <c r="B14" s="393">
        <v>42639.0</v>
      </c>
      <c r="C14" s="146" t="s">
        <v>3171</v>
      </c>
      <c r="D14" s="19"/>
      <c r="E14" s="20"/>
      <c r="F14" s="20"/>
      <c r="G14" s="20"/>
      <c r="H14" s="20"/>
      <c r="I14" s="20"/>
      <c r="J14" s="20"/>
      <c r="K14" s="20"/>
      <c r="L14" s="20"/>
      <c r="M14" s="20"/>
      <c r="N14" s="20"/>
      <c r="O14" s="20"/>
      <c r="P14" s="20"/>
      <c r="Q14" s="20"/>
      <c r="R14" s="20"/>
      <c r="S14" s="20"/>
      <c r="T14" s="20"/>
      <c r="U14" s="20"/>
      <c r="V14" s="20"/>
      <c r="W14" s="20"/>
      <c r="X14" s="6"/>
      <c r="Y14" s="6"/>
      <c r="Z14" s="6"/>
    </row>
    <row r="15" ht="36.0" customHeight="1">
      <c r="A15" s="146" t="s">
        <v>3172</v>
      </c>
      <c r="B15" s="393">
        <v>42649.0</v>
      </c>
      <c r="C15" s="146" t="s">
        <v>3173</v>
      </c>
      <c r="D15" s="19"/>
      <c r="E15" s="20"/>
      <c r="F15" s="20"/>
      <c r="G15" s="20"/>
      <c r="H15" s="20"/>
      <c r="I15" s="20"/>
      <c r="J15" s="20"/>
      <c r="K15" s="20"/>
      <c r="L15" s="20"/>
      <c r="M15" s="20"/>
      <c r="N15" s="20"/>
      <c r="O15" s="20"/>
      <c r="P15" s="20"/>
      <c r="Q15" s="20"/>
      <c r="R15" s="20"/>
      <c r="S15" s="20"/>
      <c r="T15" s="20"/>
      <c r="U15" s="20"/>
      <c r="V15" s="20"/>
      <c r="W15" s="20"/>
      <c r="X15" s="6"/>
      <c r="Y15" s="6"/>
      <c r="Z15" s="6"/>
    </row>
    <row r="16" ht="36.0" customHeight="1">
      <c r="A16" s="146" t="s">
        <v>3174</v>
      </c>
      <c r="B16" s="393">
        <v>42660.0</v>
      </c>
      <c r="C16" s="146" t="s">
        <v>3175</v>
      </c>
      <c r="D16" s="19"/>
      <c r="E16" s="20"/>
      <c r="F16" s="20"/>
      <c r="G16" s="20"/>
      <c r="H16" s="20"/>
      <c r="I16" s="20"/>
      <c r="J16" s="20"/>
      <c r="K16" s="20"/>
      <c r="L16" s="20"/>
      <c r="M16" s="20"/>
      <c r="N16" s="20"/>
      <c r="O16" s="20"/>
      <c r="P16" s="20"/>
      <c r="Q16" s="20"/>
      <c r="R16" s="20"/>
      <c r="S16" s="20"/>
      <c r="T16" s="20"/>
      <c r="U16" s="20"/>
      <c r="V16" s="20"/>
      <c r="W16" s="20"/>
      <c r="X16" s="6"/>
      <c r="Y16" s="6"/>
      <c r="Z16" s="6"/>
    </row>
    <row r="17" ht="36.0" customHeight="1">
      <c r="A17" s="146" t="s">
        <v>3176</v>
      </c>
      <c r="B17" s="393">
        <v>42690.0</v>
      </c>
      <c r="C17" s="146" t="s">
        <v>3177</v>
      </c>
      <c r="D17" s="19"/>
      <c r="E17" s="20"/>
      <c r="F17" s="20"/>
      <c r="G17" s="20"/>
      <c r="H17" s="20"/>
      <c r="I17" s="20"/>
      <c r="J17" s="20"/>
      <c r="K17" s="20"/>
      <c r="L17" s="20"/>
      <c r="M17" s="20"/>
      <c r="N17" s="20"/>
      <c r="O17" s="20"/>
      <c r="P17" s="20"/>
      <c r="Q17" s="20"/>
      <c r="R17" s="20"/>
      <c r="S17" s="20"/>
      <c r="T17" s="20"/>
      <c r="U17" s="20"/>
      <c r="V17" s="20"/>
      <c r="W17" s="20"/>
      <c r="X17" s="6"/>
      <c r="Y17" s="6"/>
      <c r="Z17" s="6"/>
    </row>
    <row r="18" ht="36.0" customHeight="1">
      <c r="A18" s="146" t="s">
        <v>3178</v>
      </c>
      <c r="B18" s="393">
        <v>42695.0</v>
      </c>
      <c r="C18" s="146" t="s">
        <v>3179</v>
      </c>
      <c r="D18" s="19"/>
      <c r="E18" s="20"/>
      <c r="F18" s="20"/>
      <c r="G18" s="20"/>
      <c r="H18" s="20"/>
      <c r="I18" s="20"/>
      <c r="J18" s="20"/>
      <c r="K18" s="20"/>
      <c r="L18" s="20"/>
      <c r="M18" s="20"/>
      <c r="N18" s="20"/>
      <c r="O18" s="20"/>
      <c r="P18" s="20"/>
      <c r="Q18" s="20"/>
      <c r="R18" s="20"/>
      <c r="S18" s="20"/>
      <c r="T18" s="20"/>
      <c r="U18" s="20"/>
      <c r="V18" s="20"/>
      <c r="W18" s="20"/>
      <c r="X18" s="6"/>
      <c r="Y18" s="6"/>
      <c r="Z18" s="6"/>
    </row>
    <row r="19" ht="36.0" customHeight="1">
      <c r="A19" s="146" t="s">
        <v>3180</v>
      </c>
      <c r="B19" s="393">
        <v>42697.0</v>
      </c>
      <c r="C19" s="146" t="s">
        <v>3181</v>
      </c>
      <c r="D19" s="19"/>
      <c r="E19" s="20"/>
      <c r="F19" s="20"/>
      <c r="G19" s="20"/>
      <c r="H19" s="20"/>
      <c r="I19" s="20"/>
      <c r="J19" s="20"/>
      <c r="K19" s="20"/>
      <c r="L19" s="20"/>
      <c r="M19" s="20"/>
      <c r="N19" s="20"/>
      <c r="O19" s="20"/>
      <c r="P19" s="20"/>
      <c r="Q19" s="20"/>
      <c r="R19" s="20"/>
      <c r="S19" s="20"/>
      <c r="T19" s="20"/>
      <c r="U19" s="20"/>
      <c r="V19" s="20"/>
      <c r="W19" s="20"/>
      <c r="X19" s="6"/>
      <c r="Y19" s="6"/>
      <c r="Z19" s="6"/>
    </row>
    <row r="20" ht="36.0" customHeight="1">
      <c r="A20" s="146" t="s">
        <v>3182</v>
      </c>
      <c r="B20" s="393">
        <v>42847.0</v>
      </c>
      <c r="C20" s="146" t="s">
        <v>3183</v>
      </c>
      <c r="D20" s="19"/>
      <c r="E20" s="20"/>
      <c r="F20" s="20"/>
      <c r="G20" s="20"/>
      <c r="H20" s="20"/>
      <c r="I20" s="20"/>
      <c r="J20" s="20"/>
      <c r="K20" s="20"/>
      <c r="L20" s="20"/>
      <c r="M20" s="20"/>
      <c r="N20" s="20"/>
      <c r="O20" s="20"/>
      <c r="P20" s="20"/>
      <c r="Q20" s="20"/>
      <c r="R20" s="20"/>
      <c r="S20" s="20"/>
      <c r="T20" s="20"/>
      <c r="U20" s="20"/>
      <c r="V20" s="20"/>
      <c r="W20" s="20"/>
      <c r="X20" s="6"/>
      <c r="Y20" s="6"/>
      <c r="Z20" s="6"/>
    </row>
    <row r="21" ht="36.0" customHeight="1">
      <c r="A21" s="146" t="s">
        <v>3184</v>
      </c>
      <c r="B21" s="393">
        <v>42853.0</v>
      </c>
      <c r="C21" s="146" t="s">
        <v>3185</v>
      </c>
      <c r="D21" s="19"/>
      <c r="E21" s="20"/>
      <c r="F21" s="20"/>
      <c r="G21" s="20"/>
      <c r="H21" s="20"/>
      <c r="I21" s="20"/>
      <c r="J21" s="20"/>
      <c r="K21" s="20"/>
      <c r="L21" s="20"/>
      <c r="M21" s="20"/>
      <c r="N21" s="20"/>
      <c r="O21" s="20"/>
      <c r="P21" s="20"/>
      <c r="Q21" s="20"/>
      <c r="R21" s="20"/>
      <c r="S21" s="20"/>
      <c r="T21" s="20"/>
      <c r="U21" s="20"/>
      <c r="V21" s="20"/>
      <c r="W21" s="20"/>
      <c r="X21" s="6"/>
      <c r="Y21" s="6"/>
      <c r="Z21" s="6"/>
    </row>
    <row r="22" ht="36.0" customHeight="1">
      <c r="A22" s="146" t="s">
        <v>3186</v>
      </c>
      <c r="B22" s="393">
        <v>43032.0</v>
      </c>
      <c r="C22" s="146" t="s">
        <v>3187</v>
      </c>
      <c r="D22" s="19"/>
      <c r="E22" s="20"/>
      <c r="F22" s="20"/>
      <c r="G22" s="20"/>
      <c r="H22" s="20"/>
      <c r="I22" s="20"/>
      <c r="J22" s="20"/>
      <c r="K22" s="20"/>
      <c r="L22" s="20"/>
      <c r="M22" s="20"/>
      <c r="N22" s="20"/>
      <c r="O22" s="20"/>
      <c r="P22" s="20"/>
      <c r="Q22" s="20"/>
      <c r="R22" s="20"/>
      <c r="S22" s="20"/>
      <c r="T22" s="20"/>
      <c r="U22" s="20"/>
      <c r="V22" s="20"/>
      <c r="W22" s="20"/>
      <c r="X22" s="6"/>
      <c r="Y22" s="6"/>
      <c r="Z22" s="6"/>
    </row>
    <row r="23" ht="36.0" customHeight="1">
      <c r="A23" s="146" t="s">
        <v>3188</v>
      </c>
      <c r="B23" s="393">
        <v>43386.0</v>
      </c>
      <c r="C23" s="146" t="s">
        <v>3189</v>
      </c>
      <c r="D23" s="19"/>
      <c r="E23" s="20"/>
      <c r="F23" s="20"/>
      <c r="G23" s="20"/>
      <c r="H23" s="20"/>
      <c r="I23" s="20"/>
      <c r="J23" s="20"/>
      <c r="K23" s="20"/>
      <c r="L23" s="20"/>
      <c r="M23" s="20"/>
      <c r="N23" s="20"/>
      <c r="O23" s="20"/>
      <c r="P23" s="20"/>
      <c r="Q23" s="20"/>
      <c r="R23" s="20"/>
      <c r="S23" s="20"/>
      <c r="T23" s="20"/>
      <c r="U23" s="20"/>
      <c r="V23" s="20"/>
      <c r="W23" s="20"/>
      <c r="X23" s="6"/>
      <c r="Y23" s="6"/>
      <c r="Z23" s="6"/>
    </row>
    <row r="24" ht="36.0" customHeight="1">
      <c r="A24" s="146" t="s">
        <v>3190</v>
      </c>
      <c r="B24" s="393">
        <v>43405.0</v>
      </c>
      <c r="C24" s="146" t="s">
        <v>3191</v>
      </c>
      <c r="D24" s="19"/>
      <c r="E24" s="20"/>
      <c r="F24" s="20"/>
      <c r="G24" s="20"/>
      <c r="H24" s="20"/>
      <c r="I24" s="20"/>
      <c r="J24" s="20"/>
      <c r="K24" s="20"/>
      <c r="L24" s="20"/>
      <c r="M24" s="20"/>
      <c r="N24" s="20"/>
      <c r="O24" s="20"/>
      <c r="P24" s="20"/>
      <c r="Q24" s="20"/>
      <c r="R24" s="20"/>
      <c r="S24" s="20"/>
      <c r="T24" s="20"/>
      <c r="U24" s="20"/>
      <c r="V24" s="20"/>
      <c r="W24" s="20"/>
      <c r="X24" s="6"/>
      <c r="Y24" s="6"/>
      <c r="Z24" s="6"/>
    </row>
    <row r="25" ht="36.0" customHeight="1">
      <c r="A25" s="146" t="s">
        <v>3192</v>
      </c>
      <c r="B25" s="393">
        <v>43490.0</v>
      </c>
      <c r="C25" s="146" t="s">
        <v>3193</v>
      </c>
      <c r="D25" s="19"/>
      <c r="E25" s="20"/>
      <c r="F25" s="20"/>
      <c r="G25" s="20"/>
      <c r="H25" s="20"/>
      <c r="I25" s="20"/>
      <c r="J25" s="20"/>
      <c r="K25" s="20"/>
      <c r="L25" s="20"/>
      <c r="M25" s="20"/>
      <c r="N25" s="20"/>
      <c r="O25" s="20"/>
      <c r="P25" s="20"/>
      <c r="Q25" s="20"/>
      <c r="R25" s="20"/>
      <c r="S25" s="20"/>
      <c r="T25" s="20"/>
      <c r="U25" s="20"/>
      <c r="V25" s="20"/>
      <c r="W25" s="20"/>
      <c r="X25" s="6"/>
      <c r="Y25" s="6"/>
      <c r="Z25" s="6"/>
    </row>
    <row r="26" ht="36.0" customHeight="1">
      <c r="A26" s="146" t="s">
        <v>3194</v>
      </c>
      <c r="B26" s="393">
        <v>43543.0</v>
      </c>
      <c r="C26" s="146" t="s">
        <v>3195</v>
      </c>
      <c r="D26" s="19"/>
      <c r="E26" s="20"/>
      <c r="F26" s="20"/>
      <c r="G26" s="20"/>
      <c r="H26" s="20"/>
      <c r="I26" s="20"/>
      <c r="J26" s="20"/>
      <c r="K26" s="20"/>
      <c r="L26" s="20"/>
      <c r="M26" s="20"/>
      <c r="N26" s="20"/>
      <c r="O26" s="20"/>
      <c r="P26" s="20"/>
      <c r="Q26" s="20"/>
      <c r="R26" s="20"/>
      <c r="S26" s="20"/>
      <c r="T26" s="20"/>
      <c r="U26" s="20"/>
      <c r="V26" s="20"/>
      <c r="W26" s="20"/>
      <c r="X26" s="6"/>
      <c r="Y26" s="6"/>
      <c r="Z26" s="6"/>
    </row>
    <row r="27" ht="36.0" customHeight="1">
      <c r="A27" s="146" t="s">
        <v>3196</v>
      </c>
      <c r="B27" s="393">
        <v>43584.0</v>
      </c>
      <c r="C27" s="146" t="s">
        <v>3197</v>
      </c>
      <c r="D27" s="19"/>
      <c r="E27" s="20"/>
      <c r="F27" s="20"/>
      <c r="G27" s="20"/>
      <c r="H27" s="20"/>
      <c r="I27" s="20"/>
      <c r="J27" s="20"/>
      <c r="K27" s="20"/>
      <c r="L27" s="20"/>
      <c r="M27" s="20"/>
      <c r="N27" s="20"/>
      <c r="O27" s="20"/>
      <c r="P27" s="20"/>
      <c r="Q27" s="20"/>
      <c r="R27" s="20"/>
      <c r="S27" s="20"/>
      <c r="T27" s="20"/>
      <c r="U27" s="20"/>
      <c r="V27" s="20"/>
      <c r="W27" s="20"/>
      <c r="X27" s="6"/>
      <c r="Y27" s="6"/>
      <c r="Z27" s="6"/>
    </row>
    <row r="28" ht="36.0" customHeight="1">
      <c r="A28" s="146" t="s">
        <v>3198</v>
      </c>
      <c r="B28" s="393">
        <v>43742.0</v>
      </c>
      <c r="C28" s="146" t="s">
        <v>3199</v>
      </c>
      <c r="D28" s="19"/>
      <c r="E28" s="20"/>
      <c r="F28" s="20"/>
      <c r="G28" s="20"/>
      <c r="H28" s="20"/>
      <c r="I28" s="20"/>
      <c r="J28" s="20"/>
      <c r="K28" s="20"/>
      <c r="L28" s="20"/>
      <c r="M28" s="20"/>
      <c r="N28" s="20"/>
      <c r="O28" s="20"/>
      <c r="P28" s="20"/>
      <c r="Q28" s="20"/>
      <c r="R28" s="20"/>
      <c r="S28" s="20"/>
      <c r="T28" s="20"/>
      <c r="U28" s="20"/>
      <c r="V28" s="20"/>
      <c r="W28" s="20"/>
      <c r="X28" s="6"/>
      <c r="Y28" s="6"/>
      <c r="Z28" s="6"/>
    </row>
    <row r="29" ht="36.0" customHeight="1">
      <c r="A29" s="146" t="s">
        <v>3200</v>
      </c>
      <c r="B29" s="393">
        <v>43790.0</v>
      </c>
      <c r="C29" s="146" t="s">
        <v>3201</v>
      </c>
      <c r="D29" s="19"/>
      <c r="E29" s="20"/>
      <c r="F29" s="20"/>
      <c r="G29" s="20"/>
      <c r="H29" s="20"/>
      <c r="I29" s="20"/>
      <c r="J29" s="20"/>
      <c r="K29" s="20"/>
      <c r="L29" s="20"/>
      <c r="M29" s="20"/>
      <c r="N29" s="20"/>
      <c r="O29" s="20"/>
      <c r="P29" s="20"/>
      <c r="Q29" s="20"/>
      <c r="R29" s="20"/>
      <c r="S29" s="20"/>
      <c r="T29" s="20"/>
      <c r="U29" s="20"/>
      <c r="V29" s="20"/>
      <c r="W29" s="20"/>
      <c r="X29" s="6"/>
      <c r="Y29" s="6"/>
      <c r="Z29" s="6"/>
    </row>
    <row r="30" ht="36.0" customHeight="1">
      <c r="A30" s="394"/>
      <c r="B30" s="266"/>
      <c r="C30" s="394"/>
      <c r="D30" s="19"/>
      <c r="E30" s="20"/>
      <c r="F30" s="20"/>
      <c r="G30" s="20"/>
      <c r="H30" s="20"/>
      <c r="I30" s="20"/>
      <c r="J30" s="20"/>
      <c r="K30" s="20"/>
      <c r="L30" s="20"/>
      <c r="M30" s="20"/>
      <c r="N30" s="20"/>
      <c r="O30" s="20"/>
      <c r="P30" s="20"/>
      <c r="Q30" s="20"/>
      <c r="R30" s="20"/>
      <c r="S30" s="20"/>
      <c r="T30" s="20"/>
      <c r="U30" s="20"/>
      <c r="V30" s="20"/>
      <c r="W30" s="20"/>
      <c r="X30" s="6"/>
      <c r="Y30" s="6"/>
      <c r="Z30" s="6"/>
    </row>
    <row r="31" ht="36.0" customHeight="1">
      <c r="A31" s="394"/>
      <c r="B31" s="266"/>
      <c r="C31" s="394"/>
      <c r="D31" s="19"/>
      <c r="E31" s="20"/>
      <c r="F31" s="20"/>
      <c r="G31" s="20"/>
      <c r="H31" s="20"/>
      <c r="I31" s="20"/>
      <c r="J31" s="20"/>
      <c r="K31" s="20"/>
      <c r="L31" s="20"/>
      <c r="M31" s="20"/>
      <c r="N31" s="20"/>
      <c r="O31" s="20"/>
      <c r="P31" s="20"/>
      <c r="Q31" s="20"/>
      <c r="R31" s="20"/>
      <c r="S31" s="20"/>
      <c r="T31" s="20"/>
      <c r="U31" s="20"/>
      <c r="V31" s="20"/>
      <c r="W31" s="20"/>
      <c r="X31" s="6"/>
      <c r="Y31" s="6"/>
      <c r="Z31" s="6"/>
    </row>
    <row r="32" ht="36.0" customHeight="1">
      <c r="A32" s="394"/>
      <c r="B32" s="266"/>
      <c r="C32" s="394"/>
      <c r="D32" s="19"/>
      <c r="E32" s="20"/>
      <c r="F32" s="20"/>
      <c r="G32" s="20"/>
      <c r="H32" s="20"/>
      <c r="I32" s="20"/>
      <c r="J32" s="20"/>
      <c r="K32" s="20"/>
      <c r="L32" s="20"/>
      <c r="M32" s="20"/>
      <c r="N32" s="20"/>
      <c r="O32" s="20"/>
      <c r="P32" s="20"/>
      <c r="Q32" s="20"/>
      <c r="R32" s="20"/>
      <c r="S32" s="20"/>
      <c r="T32" s="20"/>
      <c r="U32" s="20"/>
      <c r="V32" s="20"/>
      <c r="W32" s="20"/>
      <c r="X32" s="6"/>
      <c r="Y32" s="6"/>
      <c r="Z32" s="6"/>
    </row>
    <row r="33" ht="36.0" customHeight="1">
      <c r="A33" s="394"/>
      <c r="B33" s="266"/>
      <c r="C33" s="394"/>
      <c r="D33" s="19"/>
      <c r="E33" s="20"/>
      <c r="F33" s="20"/>
      <c r="G33" s="20"/>
      <c r="H33" s="20"/>
      <c r="I33" s="20"/>
      <c r="J33" s="20"/>
      <c r="K33" s="20"/>
      <c r="L33" s="20"/>
      <c r="M33" s="20"/>
      <c r="N33" s="20"/>
      <c r="O33" s="20"/>
      <c r="P33" s="20"/>
      <c r="Q33" s="20"/>
      <c r="R33" s="20"/>
      <c r="S33" s="20"/>
      <c r="T33" s="20"/>
      <c r="U33" s="20"/>
      <c r="V33" s="20"/>
      <c r="W33" s="20"/>
      <c r="X33" s="6"/>
      <c r="Y33" s="6"/>
      <c r="Z33" s="6"/>
    </row>
    <row r="34" ht="36.0" customHeight="1">
      <c r="A34" s="394"/>
      <c r="B34" s="266"/>
      <c r="C34" s="394"/>
      <c r="D34" s="19"/>
      <c r="E34" s="20"/>
      <c r="F34" s="20"/>
      <c r="G34" s="20"/>
      <c r="H34" s="20"/>
      <c r="I34" s="20"/>
      <c r="J34" s="20"/>
      <c r="K34" s="20"/>
      <c r="L34" s="20"/>
      <c r="M34" s="20"/>
      <c r="N34" s="20"/>
      <c r="O34" s="20"/>
      <c r="P34" s="20"/>
      <c r="Q34" s="20"/>
      <c r="R34" s="20"/>
      <c r="S34" s="20"/>
      <c r="T34" s="20"/>
      <c r="U34" s="20"/>
      <c r="V34" s="20"/>
      <c r="W34" s="20"/>
      <c r="X34" s="6"/>
      <c r="Y34" s="6"/>
      <c r="Z34" s="6"/>
    </row>
    <row r="35" ht="36.0" customHeight="1">
      <c r="A35" s="394"/>
      <c r="B35" s="266"/>
      <c r="C35" s="394"/>
      <c r="D35" s="19"/>
      <c r="E35" s="20"/>
      <c r="F35" s="20"/>
      <c r="G35" s="20"/>
      <c r="H35" s="20"/>
      <c r="I35" s="20"/>
      <c r="J35" s="20"/>
      <c r="K35" s="20"/>
      <c r="L35" s="20"/>
      <c r="M35" s="20"/>
      <c r="N35" s="20"/>
      <c r="O35" s="20"/>
      <c r="P35" s="20"/>
      <c r="Q35" s="20"/>
      <c r="R35" s="20"/>
      <c r="S35" s="20"/>
      <c r="T35" s="20"/>
      <c r="U35" s="20"/>
      <c r="V35" s="20"/>
      <c r="W35" s="20"/>
      <c r="X35" s="6"/>
      <c r="Y35" s="6"/>
      <c r="Z35" s="6"/>
    </row>
    <row r="36" ht="36.0" customHeight="1">
      <c r="A36" s="394"/>
      <c r="B36" s="266"/>
      <c r="C36" s="394"/>
      <c r="D36" s="19"/>
      <c r="E36" s="20"/>
      <c r="F36" s="20"/>
      <c r="G36" s="20"/>
      <c r="H36" s="20"/>
      <c r="I36" s="20"/>
      <c r="J36" s="20"/>
      <c r="K36" s="20"/>
      <c r="L36" s="20"/>
      <c r="M36" s="20"/>
      <c r="N36" s="20"/>
      <c r="O36" s="20"/>
      <c r="P36" s="20"/>
      <c r="Q36" s="20"/>
      <c r="R36" s="20"/>
      <c r="S36" s="20"/>
      <c r="T36" s="20"/>
      <c r="U36" s="20"/>
      <c r="V36" s="20"/>
      <c r="W36" s="20"/>
      <c r="X36" s="6"/>
      <c r="Y36" s="6"/>
      <c r="Z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2">
    <mergeCell ref="A1:C1"/>
    <mergeCell ref="A2:C2"/>
  </mergeCells>
  <printOptions/>
  <pageMargins bottom="0.75" footer="0.0" header="0.0" left="0.7" right="0.7" top="0.75"/>
  <pageSetup orientation="portrait"/>
  <headerFooter>
    <oddFooter>&amp;C000000&amp;P</oddFooter>
  </headerFooter>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7.0"/>
    <col customWidth="1" min="2" max="6" width="11.22"/>
  </cols>
  <sheetData>
    <row r="1" ht="18.0" customHeight="1">
      <c r="A1" s="395" t="s">
        <v>3202</v>
      </c>
      <c r="B1" s="20"/>
      <c r="C1" s="20"/>
      <c r="D1" s="20"/>
      <c r="E1" s="20"/>
      <c r="F1" s="6"/>
      <c r="G1" s="6"/>
      <c r="H1" s="6"/>
      <c r="I1" s="6"/>
      <c r="J1" s="6"/>
      <c r="K1" s="6"/>
      <c r="L1" s="6"/>
      <c r="M1" s="6"/>
      <c r="N1" s="6"/>
      <c r="O1" s="6"/>
      <c r="P1" s="6"/>
      <c r="Q1" s="6"/>
      <c r="R1" s="6"/>
      <c r="S1" s="6"/>
      <c r="T1" s="6"/>
      <c r="U1" s="6"/>
      <c r="V1" s="6"/>
      <c r="W1" s="6"/>
      <c r="X1" s="6"/>
      <c r="Y1" s="6"/>
      <c r="Z1" s="6"/>
    </row>
    <row r="2" ht="18.0" customHeight="1">
      <c r="A2" s="20"/>
      <c r="B2" s="20"/>
      <c r="C2" s="20"/>
      <c r="D2" s="20"/>
      <c r="E2" s="20"/>
      <c r="F2" s="6"/>
      <c r="G2" s="6"/>
      <c r="H2" s="6"/>
      <c r="I2" s="6"/>
      <c r="J2" s="6"/>
      <c r="K2" s="6"/>
      <c r="L2" s="6"/>
      <c r="M2" s="6"/>
      <c r="N2" s="6"/>
      <c r="O2" s="6"/>
      <c r="P2" s="6"/>
      <c r="Q2" s="6"/>
      <c r="R2" s="6"/>
      <c r="S2" s="6"/>
      <c r="T2" s="6"/>
      <c r="U2" s="6"/>
      <c r="V2" s="6"/>
      <c r="W2" s="6"/>
      <c r="X2" s="6"/>
      <c r="Y2" s="6"/>
      <c r="Z2" s="6"/>
    </row>
    <row r="3" ht="18.0" customHeight="1">
      <c r="A3" s="395" t="s">
        <v>3203</v>
      </c>
      <c r="B3" s="20"/>
      <c r="C3" s="20"/>
      <c r="D3" s="20"/>
      <c r="E3" s="20"/>
      <c r="F3" s="6"/>
      <c r="G3" s="6"/>
      <c r="H3" s="6"/>
      <c r="I3" s="6"/>
      <c r="J3" s="6"/>
      <c r="K3" s="6"/>
      <c r="L3" s="6"/>
      <c r="M3" s="6"/>
      <c r="N3" s="6"/>
      <c r="O3" s="6"/>
      <c r="P3" s="6"/>
      <c r="Q3" s="6"/>
      <c r="R3" s="6"/>
      <c r="S3" s="6"/>
      <c r="T3" s="6"/>
      <c r="U3" s="6"/>
      <c r="V3" s="6"/>
      <c r="W3" s="6"/>
      <c r="X3" s="6"/>
      <c r="Y3" s="6"/>
      <c r="Z3" s="6"/>
    </row>
    <row r="4" ht="18.0" customHeight="1">
      <c r="A4" s="287" t="s">
        <v>90</v>
      </c>
      <c r="B4" s="20"/>
      <c r="C4" s="20"/>
      <c r="D4" s="20"/>
      <c r="E4" s="20"/>
      <c r="F4" s="6"/>
      <c r="G4" s="6"/>
      <c r="H4" s="6"/>
      <c r="I4" s="6"/>
      <c r="J4" s="6"/>
      <c r="K4" s="6"/>
      <c r="L4" s="6"/>
      <c r="M4" s="6"/>
      <c r="N4" s="6"/>
      <c r="O4" s="6"/>
      <c r="P4" s="6"/>
      <c r="Q4" s="6"/>
      <c r="R4" s="6"/>
      <c r="S4" s="6"/>
      <c r="T4" s="6"/>
      <c r="U4" s="6"/>
      <c r="V4" s="6"/>
      <c r="W4" s="6"/>
      <c r="X4" s="6"/>
      <c r="Y4" s="6"/>
      <c r="Z4" s="6"/>
    </row>
    <row r="5" ht="18.0" customHeight="1">
      <c r="A5" s="287" t="s">
        <v>85</v>
      </c>
      <c r="B5" s="20"/>
      <c r="C5" s="20"/>
      <c r="D5" s="20"/>
      <c r="E5" s="20"/>
      <c r="F5" s="6"/>
      <c r="G5" s="6"/>
      <c r="H5" s="6"/>
      <c r="I5" s="6"/>
      <c r="J5" s="6"/>
      <c r="K5" s="6"/>
      <c r="L5" s="6"/>
      <c r="M5" s="6"/>
      <c r="N5" s="6"/>
      <c r="O5" s="6"/>
      <c r="P5" s="6"/>
      <c r="Q5" s="6"/>
      <c r="R5" s="6"/>
      <c r="S5" s="6"/>
      <c r="T5" s="6"/>
      <c r="U5" s="6"/>
      <c r="V5" s="6"/>
      <c r="W5" s="6"/>
      <c r="X5" s="6"/>
      <c r="Y5" s="6"/>
      <c r="Z5" s="6"/>
    </row>
    <row r="6" ht="18.0" customHeight="1">
      <c r="A6" s="287" t="s">
        <v>3204</v>
      </c>
      <c r="B6" s="20"/>
      <c r="C6" s="20"/>
      <c r="D6" s="20"/>
      <c r="E6" s="20"/>
      <c r="F6" s="6"/>
      <c r="G6" s="6"/>
      <c r="H6" s="6"/>
      <c r="I6" s="6"/>
      <c r="J6" s="6"/>
      <c r="K6" s="6"/>
      <c r="L6" s="6"/>
      <c r="M6" s="6"/>
      <c r="N6" s="6"/>
      <c r="O6" s="6"/>
      <c r="P6" s="6"/>
      <c r="Q6" s="6"/>
      <c r="R6" s="6"/>
      <c r="S6" s="6"/>
      <c r="T6" s="6"/>
      <c r="U6" s="6"/>
      <c r="V6" s="6"/>
      <c r="W6" s="6"/>
      <c r="X6" s="6"/>
      <c r="Y6" s="6"/>
      <c r="Z6" s="6"/>
    </row>
    <row r="7" ht="18.0" customHeight="1">
      <c r="A7" s="20"/>
      <c r="B7" s="20"/>
      <c r="C7" s="20"/>
      <c r="D7" s="20"/>
      <c r="E7" s="20"/>
      <c r="F7" s="6"/>
      <c r="G7" s="6"/>
      <c r="H7" s="6"/>
      <c r="I7" s="6"/>
      <c r="J7" s="6"/>
      <c r="K7" s="6"/>
      <c r="L7" s="6"/>
      <c r="M7" s="6"/>
      <c r="N7" s="6"/>
      <c r="O7" s="6"/>
      <c r="P7" s="6"/>
      <c r="Q7" s="6"/>
      <c r="R7" s="6"/>
      <c r="S7" s="6"/>
      <c r="T7" s="6"/>
      <c r="U7" s="6"/>
      <c r="V7" s="6"/>
      <c r="W7" s="6"/>
      <c r="X7" s="6"/>
      <c r="Y7" s="6"/>
      <c r="Z7" s="6"/>
    </row>
    <row r="8" ht="18.0" customHeight="1">
      <c r="A8" s="395" t="s">
        <v>3205</v>
      </c>
      <c r="B8" s="20"/>
      <c r="C8" s="20"/>
      <c r="D8" s="20"/>
      <c r="E8" s="20"/>
      <c r="F8" s="6"/>
      <c r="G8" s="6"/>
      <c r="H8" s="6"/>
      <c r="I8" s="6"/>
      <c r="J8" s="6"/>
      <c r="K8" s="6"/>
      <c r="L8" s="6"/>
      <c r="M8" s="6"/>
      <c r="N8" s="6"/>
      <c r="O8" s="6"/>
      <c r="P8" s="6"/>
      <c r="Q8" s="6"/>
      <c r="R8" s="6"/>
      <c r="S8" s="6"/>
      <c r="T8" s="6"/>
      <c r="U8" s="6"/>
      <c r="V8" s="6"/>
      <c r="W8" s="6"/>
      <c r="X8" s="6"/>
      <c r="Y8" s="6"/>
      <c r="Z8" s="6"/>
    </row>
    <row r="9" ht="18.0" customHeight="1">
      <c r="A9" s="287" t="s">
        <v>3206</v>
      </c>
      <c r="B9" s="20"/>
      <c r="C9" s="20"/>
      <c r="D9" s="20"/>
      <c r="E9" s="20"/>
      <c r="F9" s="6"/>
      <c r="G9" s="6"/>
      <c r="H9" s="6"/>
      <c r="I9" s="6"/>
      <c r="J9" s="6"/>
      <c r="K9" s="6"/>
      <c r="L9" s="6"/>
      <c r="M9" s="6"/>
      <c r="N9" s="6"/>
      <c r="O9" s="6"/>
      <c r="P9" s="6"/>
      <c r="Q9" s="6"/>
      <c r="R9" s="6"/>
      <c r="S9" s="6"/>
      <c r="T9" s="6"/>
      <c r="U9" s="6"/>
      <c r="V9" s="6"/>
      <c r="W9" s="6"/>
      <c r="X9" s="6"/>
      <c r="Y9" s="6"/>
      <c r="Z9" s="6"/>
    </row>
    <row r="10" ht="18.0" customHeight="1">
      <c r="A10" s="287" t="s">
        <v>3207</v>
      </c>
      <c r="B10" s="20"/>
      <c r="C10" s="20"/>
      <c r="D10" s="20"/>
      <c r="E10" s="20"/>
      <c r="F10" s="6"/>
      <c r="G10" s="6"/>
      <c r="H10" s="6"/>
      <c r="I10" s="6"/>
      <c r="J10" s="6"/>
      <c r="K10" s="6"/>
      <c r="L10" s="6"/>
      <c r="M10" s="6"/>
      <c r="N10" s="6"/>
      <c r="O10" s="6"/>
      <c r="P10" s="6"/>
      <c r="Q10" s="6"/>
      <c r="R10" s="6"/>
      <c r="S10" s="6"/>
      <c r="T10" s="6"/>
      <c r="U10" s="6"/>
      <c r="V10" s="6"/>
      <c r="W10" s="6"/>
      <c r="X10" s="6"/>
      <c r="Y10" s="6"/>
      <c r="Z10" s="6"/>
    </row>
    <row r="11" ht="18.0" customHeight="1">
      <c r="A11" s="287" t="s">
        <v>3208</v>
      </c>
      <c r="B11" s="20"/>
      <c r="C11" s="20"/>
      <c r="D11" s="20"/>
      <c r="E11" s="20"/>
      <c r="F11" s="6"/>
      <c r="G11" s="6"/>
      <c r="H11" s="6"/>
      <c r="I11" s="6"/>
      <c r="J11" s="6"/>
      <c r="K11" s="6"/>
      <c r="L11" s="6"/>
      <c r="M11" s="6"/>
      <c r="N11" s="6"/>
      <c r="O11" s="6"/>
      <c r="P11" s="6"/>
      <c r="Q11" s="6"/>
      <c r="R11" s="6"/>
      <c r="S11" s="6"/>
      <c r="T11" s="6"/>
      <c r="U11" s="6"/>
      <c r="V11" s="6"/>
      <c r="W11" s="6"/>
      <c r="X11" s="6"/>
      <c r="Y11" s="6"/>
      <c r="Z11" s="6"/>
    </row>
    <row r="12" ht="18.0" customHeight="1">
      <c r="A12" s="287" t="s">
        <v>3209</v>
      </c>
      <c r="B12" s="20"/>
      <c r="C12" s="20"/>
      <c r="D12" s="20"/>
      <c r="E12" s="20"/>
      <c r="F12" s="6"/>
      <c r="G12" s="6"/>
      <c r="H12" s="6"/>
      <c r="I12" s="6"/>
      <c r="J12" s="6"/>
      <c r="K12" s="6"/>
      <c r="L12" s="6"/>
      <c r="M12" s="6"/>
      <c r="N12" s="6"/>
      <c r="O12" s="6"/>
      <c r="P12" s="6"/>
      <c r="Q12" s="6"/>
      <c r="R12" s="6"/>
      <c r="S12" s="6"/>
      <c r="T12" s="6"/>
      <c r="U12" s="6"/>
      <c r="V12" s="6"/>
      <c r="W12" s="6"/>
      <c r="X12" s="6"/>
      <c r="Y12" s="6"/>
      <c r="Z12" s="6"/>
    </row>
    <row r="13" ht="18.0" customHeight="1">
      <c r="A13" s="20"/>
      <c r="B13" s="20"/>
      <c r="C13" s="20"/>
      <c r="D13" s="20"/>
      <c r="E13" s="20"/>
      <c r="F13" s="6"/>
      <c r="G13" s="6"/>
      <c r="H13" s="6"/>
      <c r="I13" s="6"/>
      <c r="J13" s="6"/>
      <c r="K13" s="6"/>
      <c r="L13" s="6"/>
      <c r="M13" s="6"/>
      <c r="N13" s="6"/>
      <c r="O13" s="6"/>
      <c r="P13" s="6"/>
      <c r="Q13" s="6"/>
      <c r="R13" s="6"/>
      <c r="S13" s="6"/>
      <c r="T13" s="6"/>
      <c r="U13" s="6"/>
      <c r="V13" s="6"/>
      <c r="W13" s="6"/>
      <c r="X13" s="6"/>
      <c r="Y13" s="6"/>
      <c r="Z13" s="6"/>
    </row>
    <row r="14" ht="18.0" customHeight="1">
      <c r="A14" s="395" t="s">
        <v>3210</v>
      </c>
      <c r="B14" s="20"/>
      <c r="C14" s="20"/>
      <c r="D14" s="20"/>
      <c r="E14" s="20"/>
      <c r="F14" s="6"/>
      <c r="G14" s="6"/>
      <c r="H14" s="6"/>
      <c r="I14" s="6"/>
      <c r="J14" s="6"/>
      <c r="K14" s="6"/>
      <c r="L14" s="6"/>
      <c r="M14" s="6"/>
      <c r="N14" s="6"/>
      <c r="O14" s="6"/>
      <c r="P14" s="6"/>
      <c r="Q14" s="6"/>
      <c r="R14" s="6"/>
      <c r="S14" s="6"/>
      <c r="T14" s="6"/>
      <c r="U14" s="6"/>
      <c r="V14" s="6"/>
      <c r="W14" s="6"/>
      <c r="X14" s="6"/>
      <c r="Y14" s="6"/>
      <c r="Z14" s="6"/>
    </row>
    <row r="15" ht="18.0" customHeight="1">
      <c r="A15" s="287" t="s">
        <v>452</v>
      </c>
      <c r="B15" s="20"/>
      <c r="C15" s="20"/>
      <c r="D15" s="20"/>
      <c r="E15" s="20"/>
      <c r="F15" s="6"/>
      <c r="G15" s="6"/>
      <c r="H15" s="6"/>
      <c r="I15" s="6"/>
      <c r="J15" s="6"/>
      <c r="K15" s="6"/>
      <c r="L15" s="6"/>
      <c r="M15" s="6"/>
      <c r="N15" s="6"/>
      <c r="O15" s="6"/>
      <c r="P15" s="6"/>
      <c r="Q15" s="6"/>
      <c r="R15" s="6"/>
      <c r="S15" s="6"/>
      <c r="T15" s="6"/>
      <c r="U15" s="6"/>
      <c r="V15" s="6"/>
      <c r="W15" s="6"/>
      <c r="X15" s="6"/>
      <c r="Y15" s="6"/>
      <c r="Z15" s="6"/>
    </row>
    <row r="16" ht="18.0" customHeight="1">
      <c r="A16" s="287" t="s">
        <v>3211</v>
      </c>
      <c r="B16" s="20"/>
      <c r="C16" s="20"/>
      <c r="D16" s="20"/>
      <c r="E16" s="20"/>
      <c r="F16" s="6"/>
      <c r="G16" s="6"/>
      <c r="H16" s="6"/>
      <c r="I16" s="6"/>
      <c r="J16" s="6"/>
      <c r="K16" s="6"/>
      <c r="L16" s="6"/>
      <c r="M16" s="6"/>
      <c r="N16" s="6"/>
      <c r="O16" s="6"/>
      <c r="P16" s="6"/>
      <c r="Q16" s="6"/>
      <c r="R16" s="6"/>
      <c r="S16" s="6"/>
      <c r="T16" s="6"/>
      <c r="U16" s="6"/>
      <c r="V16" s="6"/>
      <c r="W16" s="6"/>
      <c r="X16" s="6"/>
      <c r="Y16" s="6"/>
      <c r="Z16" s="6"/>
    </row>
    <row r="17" ht="18.0" customHeight="1">
      <c r="A17" s="287" t="s">
        <v>3212</v>
      </c>
      <c r="B17" s="20"/>
      <c r="C17" s="20"/>
      <c r="D17" s="20"/>
      <c r="E17" s="20"/>
      <c r="F17" s="6"/>
      <c r="G17" s="6"/>
      <c r="H17" s="6"/>
      <c r="I17" s="6"/>
      <c r="J17" s="6"/>
      <c r="K17" s="6"/>
      <c r="L17" s="6"/>
      <c r="M17" s="6"/>
      <c r="N17" s="6"/>
      <c r="O17" s="6"/>
      <c r="P17" s="6"/>
      <c r="Q17" s="6"/>
      <c r="R17" s="6"/>
      <c r="S17" s="6"/>
      <c r="T17" s="6"/>
      <c r="U17" s="6"/>
      <c r="V17" s="6"/>
      <c r="W17" s="6"/>
      <c r="X17" s="6"/>
      <c r="Y17" s="6"/>
      <c r="Z17" s="6"/>
    </row>
    <row r="18" ht="18.0" customHeight="1">
      <c r="A18" s="287" t="s">
        <v>3213</v>
      </c>
      <c r="B18" s="20"/>
      <c r="C18" s="20"/>
      <c r="D18" s="20"/>
      <c r="E18" s="20"/>
      <c r="F18" s="6"/>
      <c r="G18" s="6"/>
      <c r="H18" s="6"/>
      <c r="I18" s="6"/>
      <c r="J18" s="6"/>
      <c r="K18" s="6"/>
      <c r="L18" s="6"/>
      <c r="M18" s="6"/>
      <c r="N18" s="6"/>
      <c r="O18" s="6"/>
      <c r="P18" s="6"/>
      <c r="Q18" s="6"/>
      <c r="R18" s="6"/>
      <c r="S18" s="6"/>
      <c r="T18" s="6"/>
      <c r="U18" s="6"/>
      <c r="V18" s="6"/>
      <c r="W18" s="6"/>
      <c r="X18" s="6"/>
      <c r="Y18" s="6"/>
      <c r="Z18" s="6"/>
    </row>
    <row r="19" ht="18.0" customHeight="1">
      <c r="A19" s="287" t="s">
        <v>3209</v>
      </c>
      <c r="B19" s="20"/>
      <c r="C19" s="20"/>
      <c r="D19" s="20"/>
      <c r="E19" s="20"/>
      <c r="F19" s="6"/>
      <c r="G19" s="6"/>
      <c r="H19" s="6"/>
      <c r="I19" s="6"/>
      <c r="J19" s="6"/>
      <c r="K19" s="6"/>
      <c r="L19" s="6"/>
      <c r="M19" s="6"/>
      <c r="N19" s="6"/>
      <c r="O19" s="6"/>
      <c r="P19" s="6"/>
      <c r="Q19" s="6"/>
      <c r="R19" s="6"/>
      <c r="S19" s="6"/>
      <c r="T19" s="6"/>
      <c r="U19" s="6"/>
      <c r="V19" s="6"/>
      <c r="W19" s="6"/>
      <c r="X19" s="6"/>
      <c r="Y19" s="6"/>
      <c r="Z19" s="6"/>
    </row>
    <row r="20" ht="18.0" customHeight="1">
      <c r="A20" s="20"/>
      <c r="B20" s="20"/>
      <c r="C20" s="20"/>
      <c r="D20" s="20"/>
      <c r="E20" s="20"/>
      <c r="F20" s="6"/>
      <c r="G20" s="6"/>
      <c r="H20" s="6"/>
      <c r="I20" s="6"/>
      <c r="J20" s="6"/>
      <c r="K20" s="6"/>
      <c r="L20" s="6"/>
      <c r="M20" s="6"/>
      <c r="N20" s="6"/>
      <c r="O20" s="6"/>
      <c r="P20" s="6"/>
      <c r="Q20" s="6"/>
      <c r="R20" s="6"/>
      <c r="S20" s="6"/>
      <c r="T20" s="6"/>
      <c r="U20" s="6"/>
      <c r="V20" s="6"/>
      <c r="W20" s="6"/>
      <c r="X20" s="6"/>
      <c r="Y20" s="6"/>
      <c r="Z20" s="6"/>
    </row>
    <row r="21" ht="18.0" customHeight="1">
      <c r="A21" s="395" t="s">
        <v>3214</v>
      </c>
      <c r="B21" s="20"/>
      <c r="C21" s="20"/>
      <c r="D21" s="20"/>
      <c r="E21" s="20"/>
      <c r="F21" s="6"/>
      <c r="G21" s="6"/>
      <c r="H21" s="6"/>
      <c r="I21" s="6"/>
      <c r="J21" s="6"/>
      <c r="K21" s="6"/>
      <c r="L21" s="6"/>
      <c r="M21" s="6"/>
      <c r="N21" s="6"/>
      <c r="O21" s="6"/>
      <c r="P21" s="6"/>
      <c r="Q21" s="6"/>
      <c r="R21" s="6"/>
      <c r="S21" s="6"/>
      <c r="T21" s="6"/>
      <c r="U21" s="6"/>
      <c r="V21" s="6"/>
      <c r="W21" s="6"/>
      <c r="X21" s="6"/>
      <c r="Y21" s="6"/>
      <c r="Z21" s="6"/>
    </row>
    <row r="22" ht="18.0" customHeight="1">
      <c r="A22" s="287" t="s">
        <v>3215</v>
      </c>
      <c r="B22" s="20"/>
      <c r="C22" s="20"/>
      <c r="D22" s="20"/>
      <c r="E22" s="20"/>
      <c r="F22" s="6"/>
      <c r="G22" s="6"/>
      <c r="H22" s="6"/>
      <c r="I22" s="6"/>
      <c r="J22" s="6"/>
      <c r="K22" s="6"/>
      <c r="L22" s="6"/>
      <c r="M22" s="6"/>
      <c r="N22" s="6"/>
      <c r="O22" s="6"/>
      <c r="P22" s="6"/>
      <c r="Q22" s="6"/>
      <c r="R22" s="6"/>
      <c r="S22" s="6"/>
      <c r="T22" s="6"/>
      <c r="U22" s="6"/>
      <c r="V22" s="6"/>
      <c r="W22" s="6"/>
      <c r="X22" s="6"/>
      <c r="Y22" s="6"/>
      <c r="Z22" s="6"/>
    </row>
    <row r="23" ht="18.0" customHeight="1">
      <c r="A23" s="287" t="s">
        <v>3216</v>
      </c>
      <c r="B23" s="20"/>
      <c r="C23" s="20"/>
      <c r="D23" s="20"/>
      <c r="E23" s="20"/>
      <c r="F23" s="6"/>
      <c r="G23" s="6"/>
      <c r="H23" s="6"/>
      <c r="I23" s="6"/>
      <c r="J23" s="6"/>
      <c r="K23" s="6"/>
      <c r="L23" s="6"/>
      <c r="M23" s="6"/>
      <c r="N23" s="6"/>
      <c r="O23" s="6"/>
      <c r="P23" s="6"/>
      <c r="Q23" s="6"/>
      <c r="R23" s="6"/>
      <c r="S23" s="6"/>
      <c r="T23" s="6"/>
      <c r="U23" s="6"/>
      <c r="V23" s="6"/>
      <c r="W23" s="6"/>
      <c r="X23" s="6"/>
      <c r="Y23" s="6"/>
      <c r="Z23" s="6"/>
    </row>
    <row r="24" ht="18.0" customHeight="1">
      <c r="A24" s="20"/>
      <c r="B24" s="20"/>
      <c r="C24" s="20"/>
      <c r="D24" s="20"/>
      <c r="E24" s="20"/>
      <c r="F24" s="6"/>
      <c r="G24" s="6"/>
      <c r="H24" s="6"/>
      <c r="I24" s="6"/>
      <c r="J24" s="6"/>
      <c r="K24" s="6"/>
      <c r="L24" s="6"/>
      <c r="M24" s="6"/>
      <c r="N24" s="6"/>
      <c r="O24" s="6"/>
      <c r="P24" s="6"/>
      <c r="Q24" s="6"/>
      <c r="R24" s="6"/>
      <c r="S24" s="6"/>
      <c r="T24" s="6"/>
      <c r="U24" s="6"/>
      <c r="V24" s="6"/>
      <c r="W24" s="6"/>
      <c r="X24" s="6"/>
      <c r="Y24" s="6"/>
      <c r="Z24" s="6"/>
    </row>
    <row r="25" ht="18.0" customHeight="1">
      <c r="A25" s="395" t="s">
        <v>3217</v>
      </c>
      <c r="B25" s="20"/>
      <c r="C25" s="20"/>
      <c r="D25" s="20"/>
      <c r="E25" s="20"/>
      <c r="F25" s="6"/>
      <c r="G25" s="6"/>
      <c r="H25" s="6"/>
      <c r="I25" s="6"/>
      <c r="J25" s="6"/>
      <c r="K25" s="6"/>
      <c r="L25" s="6"/>
      <c r="M25" s="6"/>
      <c r="N25" s="6"/>
      <c r="O25" s="6"/>
      <c r="P25" s="6"/>
      <c r="Q25" s="6"/>
      <c r="R25" s="6"/>
      <c r="S25" s="6"/>
      <c r="T25" s="6"/>
      <c r="U25" s="6"/>
      <c r="V25" s="6"/>
      <c r="W25" s="6"/>
      <c r="X25" s="6"/>
      <c r="Y25" s="6"/>
      <c r="Z25" s="6"/>
    </row>
    <row r="26" ht="18.0" customHeight="1">
      <c r="A26" s="287" t="s">
        <v>3218</v>
      </c>
      <c r="B26" s="20"/>
      <c r="C26" s="20"/>
      <c r="D26" s="20"/>
      <c r="E26" s="20"/>
      <c r="F26" s="6"/>
      <c r="G26" s="6"/>
      <c r="H26" s="6"/>
      <c r="I26" s="6"/>
      <c r="J26" s="6"/>
      <c r="K26" s="6"/>
      <c r="L26" s="6"/>
      <c r="M26" s="6"/>
      <c r="N26" s="6"/>
      <c r="O26" s="6"/>
      <c r="P26" s="6"/>
      <c r="Q26" s="6"/>
      <c r="R26" s="6"/>
      <c r="S26" s="6"/>
      <c r="T26" s="6"/>
      <c r="U26" s="6"/>
      <c r="V26" s="6"/>
      <c r="W26" s="6"/>
      <c r="X26" s="6"/>
      <c r="Y26" s="6"/>
      <c r="Z26" s="6"/>
    </row>
    <row r="27" ht="18.0" customHeight="1">
      <c r="A27" s="287" t="s">
        <v>3219</v>
      </c>
      <c r="B27" s="20"/>
      <c r="C27" s="20"/>
      <c r="D27" s="20"/>
      <c r="E27" s="20"/>
      <c r="F27" s="6"/>
      <c r="G27" s="6"/>
      <c r="H27" s="6"/>
      <c r="I27" s="6"/>
      <c r="J27" s="6"/>
      <c r="K27" s="6"/>
      <c r="L27" s="6"/>
      <c r="M27" s="6"/>
      <c r="N27" s="6"/>
      <c r="O27" s="6"/>
      <c r="P27" s="6"/>
      <c r="Q27" s="6"/>
      <c r="R27" s="6"/>
      <c r="S27" s="6"/>
      <c r="T27" s="6"/>
      <c r="U27" s="6"/>
      <c r="V27" s="6"/>
      <c r="W27" s="6"/>
      <c r="X27" s="6"/>
      <c r="Y27" s="6"/>
      <c r="Z27" s="6"/>
    </row>
    <row r="28" ht="18.0" customHeight="1">
      <c r="A28" s="20"/>
      <c r="B28" s="20"/>
      <c r="C28" s="20"/>
      <c r="D28" s="20"/>
      <c r="E28" s="20"/>
      <c r="F28" s="6"/>
      <c r="G28" s="6"/>
      <c r="H28" s="6"/>
      <c r="I28" s="6"/>
      <c r="J28" s="6"/>
      <c r="K28" s="6"/>
      <c r="L28" s="6"/>
      <c r="M28" s="6"/>
      <c r="N28" s="6"/>
      <c r="O28" s="6"/>
      <c r="P28" s="6"/>
      <c r="Q28" s="6"/>
      <c r="R28" s="6"/>
      <c r="S28" s="6"/>
      <c r="T28" s="6"/>
      <c r="U28" s="6"/>
      <c r="V28" s="6"/>
      <c r="W28" s="6"/>
      <c r="X28" s="6"/>
      <c r="Y28" s="6"/>
      <c r="Z28" s="6"/>
    </row>
    <row r="29" ht="18.0" customHeight="1">
      <c r="A29" s="395" t="s">
        <v>3220</v>
      </c>
      <c r="B29" s="20"/>
      <c r="C29" s="20"/>
      <c r="D29" s="20"/>
      <c r="E29" s="20"/>
      <c r="F29" s="6"/>
      <c r="G29" s="6"/>
      <c r="H29" s="6"/>
      <c r="I29" s="6"/>
      <c r="J29" s="6"/>
      <c r="K29" s="6"/>
      <c r="L29" s="6"/>
      <c r="M29" s="6"/>
      <c r="N29" s="6"/>
      <c r="O29" s="6"/>
      <c r="P29" s="6"/>
      <c r="Q29" s="6"/>
      <c r="R29" s="6"/>
      <c r="S29" s="6"/>
      <c r="T29" s="6"/>
      <c r="U29" s="6"/>
      <c r="V29" s="6"/>
      <c r="W29" s="6"/>
      <c r="X29" s="6"/>
      <c r="Y29" s="6"/>
      <c r="Z29" s="6"/>
    </row>
    <row r="30" ht="18.0" customHeight="1">
      <c r="A30" s="287" t="s">
        <v>3221</v>
      </c>
      <c r="B30" s="20"/>
      <c r="C30" s="20"/>
      <c r="D30" s="20"/>
      <c r="E30" s="20"/>
      <c r="F30" s="6"/>
      <c r="G30" s="6"/>
      <c r="H30" s="6"/>
      <c r="I30" s="6"/>
      <c r="J30" s="6"/>
      <c r="K30" s="6"/>
      <c r="L30" s="6"/>
      <c r="M30" s="6"/>
      <c r="N30" s="6"/>
      <c r="O30" s="6"/>
      <c r="P30" s="6"/>
      <c r="Q30" s="6"/>
      <c r="R30" s="6"/>
      <c r="S30" s="6"/>
      <c r="T30" s="6"/>
      <c r="U30" s="6"/>
      <c r="V30" s="6"/>
      <c r="W30" s="6"/>
      <c r="X30" s="6"/>
      <c r="Y30" s="6"/>
      <c r="Z30" s="6"/>
    </row>
    <row r="31" ht="18.0" customHeight="1">
      <c r="A31" s="287" t="s">
        <v>3222</v>
      </c>
      <c r="B31" s="20"/>
      <c r="C31" s="20"/>
      <c r="D31" s="20"/>
      <c r="E31" s="20"/>
      <c r="F31" s="6"/>
      <c r="G31" s="6"/>
      <c r="H31" s="6"/>
      <c r="I31" s="6"/>
      <c r="J31" s="6"/>
      <c r="K31" s="6"/>
      <c r="L31" s="6"/>
      <c r="M31" s="6"/>
      <c r="N31" s="6"/>
      <c r="O31" s="6"/>
      <c r="P31" s="6"/>
      <c r="Q31" s="6"/>
      <c r="R31" s="6"/>
      <c r="S31" s="6"/>
      <c r="T31" s="6"/>
      <c r="U31" s="6"/>
      <c r="V31" s="6"/>
      <c r="W31" s="6"/>
      <c r="X31" s="6"/>
      <c r="Y31" s="6"/>
      <c r="Z31" s="6"/>
    </row>
    <row r="32" ht="18.0" customHeight="1">
      <c r="A32" s="20"/>
      <c r="B32" s="20"/>
      <c r="C32" s="20"/>
      <c r="D32" s="20"/>
      <c r="E32" s="20"/>
      <c r="F32" s="6"/>
      <c r="G32" s="6"/>
      <c r="H32" s="6"/>
      <c r="I32" s="6"/>
      <c r="J32" s="6"/>
      <c r="K32" s="6"/>
      <c r="L32" s="6"/>
      <c r="M32" s="6"/>
      <c r="N32" s="6"/>
      <c r="O32" s="6"/>
      <c r="P32" s="6"/>
      <c r="Q32" s="6"/>
      <c r="R32" s="6"/>
      <c r="S32" s="6"/>
      <c r="T32" s="6"/>
      <c r="U32" s="6"/>
      <c r="V32" s="6"/>
      <c r="W32" s="6"/>
      <c r="X32" s="6"/>
      <c r="Y32" s="6"/>
      <c r="Z32" s="6"/>
    </row>
    <row r="33" ht="18.0" customHeight="1">
      <c r="A33" s="395" t="s">
        <v>3223</v>
      </c>
      <c r="B33" s="20"/>
      <c r="C33" s="20"/>
      <c r="D33" s="20"/>
      <c r="E33" s="20"/>
      <c r="F33" s="6"/>
      <c r="G33" s="6"/>
      <c r="H33" s="6"/>
      <c r="I33" s="6"/>
      <c r="J33" s="6"/>
      <c r="K33" s="6"/>
      <c r="L33" s="6"/>
      <c r="M33" s="6"/>
      <c r="N33" s="6"/>
      <c r="O33" s="6"/>
      <c r="P33" s="6"/>
      <c r="Q33" s="6"/>
      <c r="R33" s="6"/>
      <c r="S33" s="6"/>
      <c r="T33" s="6"/>
      <c r="U33" s="6"/>
      <c r="V33" s="6"/>
      <c r="W33" s="6"/>
      <c r="X33" s="6"/>
      <c r="Y33" s="6"/>
      <c r="Z33" s="6"/>
    </row>
    <row r="34" ht="18.0" customHeight="1">
      <c r="A34" s="287" t="s">
        <v>3224</v>
      </c>
      <c r="B34" s="20"/>
      <c r="C34" s="20"/>
      <c r="D34" s="20"/>
      <c r="E34" s="20"/>
      <c r="F34" s="6"/>
      <c r="G34" s="6"/>
      <c r="H34" s="6"/>
      <c r="I34" s="6"/>
      <c r="J34" s="6"/>
      <c r="K34" s="6"/>
      <c r="L34" s="6"/>
      <c r="M34" s="6"/>
      <c r="N34" s="6"/>
      <c r="O34" s="6"/>
      <c r="P34" s="6"/>
      <c r="Q34" s="6"/>
      <c r="R34" s="6"/>
      <c r="S34" s="6"/>
      <c r="T34" s="6"/>
      <c r="U34" s="6"/>
      <c r="V34" s="6"/>
      <c r="W34" s="6"/>
      <c r="X34" s="6"/>
      <c r="Y34" s="6"/>
      <c r="Z34" s="6"/>
    </row>
    <row r="35" ht="18.0" customHeight="1">
      <c r="A35" s="287" t="s">
        <v>3225</v>
      </c>
      <c r="B35" s="20"/>
      <c r="C35" s="20"/>
      <c r="D35" s="20"/>
      <c r="E35" s="20"/>
      <c r="F35" s="6"/>
      <c r="G35" s="6"/>
      <c r="H35" s="6"/>
      <c r="I35" s="6"/>
      <c r="J35" s="6"/>
      <c r="K35" s="6"/>
      <c r="L35" s="6"/>
      <c r="M35" s="6"/>
      <c r="N35" s="6"/>
      <c r="O35" s="6"/>
      <c r="P35" s="6"/>
      <c r="Q35" s="6"/>
      <c r="R35" s="6"/>
      <c r="S35" s="6"/>
      <c r="T35" s="6"/>
      <c r="U35" s="6"/>
      <c r="V35" s="6"/>
      <c r="W35" s="6"/>
      <c r="X35" s="6"/>
      <c r="Y35" s="6"/>
      <c r="Z35" s="6"/>
    </row>
    <row r="36" ht="18.0" customHeight="1">
      <c r="A36" s="287" t="s">
        <v>3226</v>
      </c>
      <c r="B36" s="20"/>
      <c r="C36" s="20"/>
      <c r="D36" s="20"/>
      <c r="E36" s="20"/>
      <c r="F36" s="6"/>
      <c r="G36" s="6"/>
      <c r="H36" s="6"/>
      <c r="I36" s="6"/>
      <c r="J36" s="6"/>
      <c r="K36" s="6"/>
      <c r="L36" s="6"/>
      <c r="M36" s="6"/>
      <c r="N36" s="6"/>
      <c r="O36" s="6"/>
      <c r="P36" s="6"/>
      <c r="Q36" s="6"/>
      <c r="R36" s="6"/>
      <c r="S36" s="6"/>
      <c r="T36" s="6"/>
      <c r="U36" s="6"/>
      <c r="V36" s="6"/>
      <c r="W36" s="6"/>
      <c r="X36" s="6"/>
      <c r="Y36" s="6"/>
      <c r="Z36" s="6"/>
    </row>
    <row r="37" ht="18.0" customHeight="1">
      <c r="A37" s="287" t="s">
        <v>470</v>
      </c>
      <c r="B37" s="20"/>
      <c r="C37" s="20"/>
      <c r="D37" s="20"/>
      <c r="E37" s="20"/>
      <c r="F37" s="6"/>
      <c r="G37" s="6"/>
      <c r="H37" s="6"/>
      <c r="I37" s="6"/>
      <c r="J37" s="6"/>
      <c r="K37" s="6"/>
      <c r="L37" s="6"/>
      <c r="M37" s="6"/>
      <c r="N37" s="6"/>
      <c r="O37" s="6"/>
      <c r="P37" s="6"/>
      <c r="Q37" s="6"/>
      <c r="R37" s="6"/>
      <c r="S37" s="6"/>
      <c r="T37" s="6"/>
      <c r="U37" s="6"/>
      <c r="V37" s="6"/>
      <c r="W37" s="6"/>
      <c r="X37" s="6"/>
      <c r="Y37" s="6"/>
      <c r="Z37" s="6"/>
    </row>
    <row r="38" ht="18.0" customHeight="1">
      <c r="A38" s="287" t="s">
        <v>3204</v>
      </c>
      <c r="B38" s="20"/>
      <c r="C38" s="20"/>
      <c r="D38" s="20"/>
      <c r="E38" s="20"/>
      <c r="F38" s="6"/>
      <c r="G38" s="6"/>
      <c r="H38" s="6"/>
      <c r="I38" s="6"/>
      <c r="J38" s="6"/>
      <c r="K38" s="6"/>
      <c r="L38" s="6"/>
      <c r="M38" s="6"/>
      <c r="N38" s="6"/>
      <c r="O38" s="6"/>
      <c r="P38" s="6"/>
      <c r="Q38" s="6"/>
      <c r="R38" s="6"/>
      <c r="S38" s="6"/>
      <c r="T38" s="6"/>
      <c r="U38" s="6"/>
      <c r="V38" s="6"/>
      <c r="W38" s="6"/>
      <c r="X38" s="6"/>
      <c r="Y38" s="6"/>
      <c r="Z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portrait"/>
  <headerFooter>
    <oddFooter>&amp;C000000&amp;P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8.33"/>
    <col customWidth="1" min="2" max="2" width="88.11"/>
    <col customWidth="1" min="3" max="26" width="10.67"/>
  </cols>
  <sheetData>
    <row r="1" ht="45.75" customHeight="1">
      <c r="A1" s="18" t="s">
        <v>1</v>
      </c>
      <c r="B1" s="14"/>
      <c r="C1" s="19"/>
      <c r="D1" s="20"/>
      <c r="E1" s="20"/>
      <c r="F1" s="20"/>
      <c r="G1" s="20"/>
      <c r="H1" s="20"/>
      <c r="I1" s="20"/>
      <c r="J1" s="20"/>
      <c r="K1" s="20"/>
      <c r="L1" s="20"/>
      <c r="M1" s="20"/>
      <c r="N1" s="20"/>
      <c r="O1" s="20"/>
      <c r="P1" s="20"/>
      <c r="Q1" s="20"/>
      <c r="R1" s="20"/>
      <c r="S1" s="20"/>
      <c r="T1" s="20"/>
      <c r="U1" s="20"/>
      <c r="V1" s="6"/>
      <c r="W1" s="6"/>
      <c r="X1" s="6"/>
      <c r="Y1" s="6"/>
      <c r="Z1" s="6"/>
    </row>
    <row r="2" ht="25.5" customHeight="1">
      <c r="A2" s="21"/>
      <c r="B2" s="14"/>
      <c r="C2" s="22"/>
      <c r="D2" s="23"/>
      <c r="E2" s="23"/>
      <c r="F2" s="24"/>
      <c r="G2" s="24"/>
      <c r="H2" s="24"/>
      <c r="I2" s="24"/>
      <c r="J2" s="24"/>
      <c r="K2" s="24"/>
      <c r="L2" s="24"/>
      <c r="M2" s="24"/>
      <c r="N2" s="24"/>
      <c r="O2" s="24"/>
      <c r="P2" s="24"/>
      <c r="Q2" s="24"/>
      <c r="R2" s="24"/>
      <c r="S2" s="24"/>
      <c r="T2" s="24"/>
      <c r="U2" s="24"/>
      <c r="V2" s="6"/>
      <c r="W2" s="6"/>
      <c r="X2" s="6"/>
      <c r="Y2" s="6"/>
      <c r="Z2" s="6"/>
    </row>
    <row r="3" ht="24.0" customHeight="1">
      <c r="A3" s="25" t="s">
        <v>2</v>
      </c>
      <c r="B3" s="14"/>
      <c r="C3" s="19"/>
      <c r="D3" s="20"/>
      <c r="E3" s="20"/>
      <c r="F3" s="20"/>
      <c r="G3" s="20"/>
      <c r="H3" s="20"/>
      <c r="I3" s="20"/>
      <c r="J3" s="20"/>
      <c r="K3" s="20"/>
      <c r="L3" s="20"/>
      <c r="M3" s="20"/>
      <c r="N3" s="20"/>
      <c r="O3" s="20"/>
      <c r="P3" s="20"/>
      <c r="Q3" s="20"/>
      <c r="R3" s="20"/>
      <c r="S3" s="20"/>
      <c r="T3" s="20"/>
      <c r="U3" s="20"/>
      <c r="V3" s="6"/>
      <c r="W3" s="6"/>
      <c r="X3" s="6"/>
      <c r="Y3" s="6"/>
      <c r="Z3" s="6"/>
    </row>
    <row r="4" ht="72.0" customHeight="1">
      <c r="A4" s="26" t="s">
        <v>3</v>
      </c>
      <c r="B4" s="14"/>
      <c r="C4" s="19"/>
      <c r="D4" s="20"/>
      <c r="E4" s="20"/>
      <c r="F4" s="20"/>
      <c r="G4" s="20"/>
      <c r="H4" s="20"/>
      <c r="I4" s="20"/>
      <c r="J4" s="20"/>
      <c r="K4" s="20"/>
      <c r="L4" s="20"/>
      <c r="M4" s="20"/>
      <c r="N4" s="20"/>
      <c r="O4" s="20"/>
      <c r="P4" s="20"/>
      <c r="Q4" s="20"/>
      <c r="R4" s="20"/>
      <c r="S4" s="20"/>
      <c r="T4" s="20"/>
      <c r="U4" s="20"/>
      <c r="V4" s="6"/>
      <c r="W4" s="6"/>
      <c r="X4" s="6"/>
      <c r="Y4" s="6"/>
      <c r="Z4" s="6"/>
    </row>
    <row r="5" ht="24.0" customHeight="1">
      <c r="A5" s="25" t="s">
        <v>4</v>
      </c>
      <c r="B5" s="14"/>
      <c r="C5" s="19"/>
      <c r="D5" s="20"/>
      <c r="E5" s="20"/>
      <c r="F5" s="20"/>
      <c r="G5" s="20"/>
      <c r="H5" s="20"/>
      <c r="I5" s="20"/>
      <c r="J5" s="20"/>
      <c r="K5" s="20"/>
      <c r="L5" s="20"/>
      <c r="M5" s="20"/>
      <c r="N5" s="20"/>
      <c r="O5" s="20"/>
      <c r="P5" s="20"/>
      <c r="Q5" s="20"/>
      <c r="R5" s="20"/>
      <c r="S5" s="20"/>
      <c r="T5" s="20"/>
      <c r="U5" s="20"/>
      <c r="V5" s="20"/>
      <c r="W5" s="6"/>
      <c r="X5" s="6"/>
      <c r="Y5" s="6"/>
      <c r="Z5" s="6"/>
    </row>
    <row r="6" ht="84.0" customHeight="1">
      <c r="A6" s="26" t="s">
        <v>5</v>
      </c>
      <c r="B6" s="14"/>
      <c r="C6" s="19"/>
      <c r="D6" s="20"/>
      <c r="E6" s="20"/>
      <c r="F6" s="20"/>
      <c r="G6" s="20"/>
      <c r="H6" s="20"/>
      <c r="I6" s="20"/>
      <c r="J6" s="20"/>
      <c r="K6" s="20"/>
      <c r="L6" s="20"/>
      <c r="M6" s="20"/>
      <c r="N6" s="20"/>
      <c r="O6" s="20"/>
      <c r="P6" s="20"/>
      <c r="Q6" s="20"/>
      <c r="R6" s="20"/>
      <c r="S6" s="20"/>
      <c r="T6" s="20"/>
      <c r="U6" s="20"/>
      <c r="V6" s="20"/>
      <c r="W6" s="6"/>
      <c r="X6" s="6"/>
      <c r="Y6" s="6"/>
      <c r="Z6" s="6"/>
    </row>
    <row r="7" ht="54.75" customHeight="1">
      <c r="A7" s="27" t="s">
        <v>6</v>
      </c>
      <c r="B7" s="28" t="s">
        <v>7</v>
      </c>
      <c r="C7" s="19"/>
      <c r="D7" s="20"/>
      <c r="E7" s="20"/>
      <c r="F7" s="20"/>
      <c r="G7" s="20"/>
      <c r="H7" s="20"/>
      <c r="I7" s="20"/>
      <c r="J7" s="20"/>
      <c r="K7" s="20"/>
      <c r="L7" s="20"/>
      <c r="M7" s="20"/>
      <c r="N7" s="20"/>
      <c r="O7" s="20"/>
      <c r="P7" s="20"/>
      <c r="Q7" s="20"/>
      <c r="R7" s="20"/>
      <c r="S7" s="20"/>
      <c r="T7" s="20"/>
      <c r="U7" s="20"/>
      <c r="V7" s="20"/>
      <c r="W7" s="6"/>
      <c r="X7" s="6"/>
      <c r="Y7" s="6"/>
      <c r="Z7" s="6"/>
    </row>
    <row r="8" ht="54.0" customHeight="1">
      <c r="A8" s="27" t="s">
        <v>8</v>
      </c>
      <c r="B8" s="28" t="s">
        <v>9</v>
      </c>
      <c r="C8" s="19"/>
      <c r="D8" s="20"/>
      <c r="E8" s="20"/>
      <c r="F8" s="20"/>
      <c r="G8" s="20"/>
      <c r="H8" s="20"/>
      <c r="I8" s="20"/>
      <c r="J8" s="20"/>
      <c r="K8" s="20"/>
      <c r="L8" s="20"/>
      <c r="M8" s="20"/>
      <c r="N8" s="20"/>
      <c r="O8" s="20"/>
      <c r="P8" s="20"/>
      <c r="Q8" s="20"/>
      <c r="R8" s="20"/>
      <c r="S8" s="20"/>
      <c r="T8" s="20"/>
      <c r="U8" s="20"/>
      <c r="V8" s="20"/>
      <c r="W8" s="6"/>
      <c r="X8" s="6"/>
      <c r="Y8" s="6"/>
      <c r="Z8" s="6"/>
    </row>
    <row r="9" ht="36.0" customHeight="1">
      <c r="A9" s="27" t="s">
        <v>10</v>
      </c>
      <c r="B9" s="28" t="s">
        <v>11</v>
      </c>
      <c r="C9" s="19"/>
      <c r="D9" s="20"/>
      <c r="E9" s="20"/>
      <c r="F9" s="20"/>
      <c r="G9" s="20"/>
      <c r="H9" s="20"/>
      <c r="I9" s="20"/>
      <c r="J9" s="20"/>
      <c r="K9" s="20"/>
      <c r="L9" s="20"/>
      <c r="M9" s="20"/>
      <c r="N9" s="20"/>
      <c r="O9" s="20"/>
      <c r="P9" s="20"/>
      <c r="Q9" s="20"/>
      <c r="R9" s="20"/>
      <c r="S9" s="20"/>
      <c r="T9" s="20"/>
      <c r="U9" s="20"/>
      <c r="V9" s="20"/>
      <c r="W9" s="6"/>
      <c r="X9" s="6"/>
      <c r="Y9" s="6"/>
      <c r="Z9" s="6"/>
    </row>
    <row r="10" ht="36.0" customHeight="1">
      <c r="A10" s="27" t="s">
        <v>12</v>
      </c>
      <c r="B10" s="28" t="s">
        <v>13</v>
      </c>
      <c r="C10" s="19"/>
      <c r="D10" s="20"/>
      <c r="E10" s="20"/>
      <c r="F10" s="20"/>
      <c r="G10" s="20"/>
      <c r="H10" s="20"/>
      <c r="I10" s="20"/>
      <c r="J10" s="20"/>
      <c r="K10" s="20"/>
      <c r="L10" s="20"/>
      <c r="M10" s="20"/>
      <c r="N10" s="20"/>
      <c r="O10" s="20"/>
      <c r="P10" s="20"/>
      <c r="Q10" s="20"/>
      <c r="R10" s="20"/>
      <c r="S10" s="20"/>
      <c r="T10" s="20"/>
      <c r="U10" s="20"/>
      <c r="V10" s="20"/>
      <c r="W10" s="6"/>
      <c r="X10" s="6"/>
      <c r="Y10" s="6"/>
      <c r="Z10" s="6"/>
    </row>
    <row r="11" ht="36.0" customHeight="1">
      <c r="A11" s="27" t="s">
        <v>14</v>
      </c>
      <c r="B11" s="28" t="s">
        <v>15</v>
      </c>
      <c r="C11" s="19"/>
      <c r="D11" s="20"/>
      <c r="E11" s="20"/>
      <c r="F11" s="20"/>
      <c r="G11" s="20"/>
      <c r="H11" s="20"/>
      <c r="I11" s="20"/>
      <c r="J11" s="20"/>
      <c r="K11" s="20"/>
      <c r="L11" s="20"/>
      <c r="M11" s="20"/>
      <c r="N11" s="20"/>
      <c r="O11" s="20"/>
      <c r="P11" s="20"/>
      <c r="Q11" s="20"/>
      <c r="R11" s="20"/>
      <c r="S11" s="20"/>
      <c r="T11" s="20"/>
      <c r="U11" s="20"/>
      <c r="V11" s="20"/>
      <c r="W11" s="6"/>
      <c r="X11" s="6"/>
      <c r="Y11" s="6"/>
      <c r="Z11" s="6"/>
    </row>
    <row r="12" ht="96.0" customHeight="1">
      <c r="A12" s="26" t="s">
        <v>16</v>
      </c>
      <c r="B12" s="14"/>
      <c r="C12" s="19"/>
      <c r="D12" s="20"/>
      <c r="E12" s="20"/>
      <c r="F12" s="20"/>
      <c r="G12" s="20"/>
      <c r="H12" s="20"/>
      <c r="I12" s="20"/>
      <c r="J12" s="20"/>
      <c r="K12" s="20"/>
      <c r="L12" s="20"/>
      <c r="M12" s="20"/>
      <c r="N12" s="20"/>
      <c r="O12" s="20"/>
      <c r="P12" s="20"/>
      <c r="Q12" s="20"/>
      <c r="R12" s="20"/>
      <c r="S12" s="20"/>
      <c r="T12" s="20"/>
      <c r="U12" s="20"/>
      <c r="V12" s="20"/>
      <c r="W12" s="6"/>
      <c r="X12" s="6"/>
      <c r="Y12" s="6"/>
      <c r="Z12" s="6"/>
    </row>
    <row r="13" ht="123.75" customHeight="1">
      <c r="A13" s="29" t="s">
        <v>17</v>
      </c>
      <c r="B13" s="14"/>
      <c r="C13" s="19"/>
      <c r="D13" s="20"/>
      <c r="E13" s="20"/>
      <c r="F13" s="20"/>
      <c r="G13" s="20"/>
      <c r="H13" s="20"/>
      <c r="I13" s="20"/>
      <c r="J13" s="20"/>
      <c r="K13" s="20"/>
      <c r="L13" s="20"/>
      <c r="M13" s="20"/>
      <c r="N13" s="20"/>
      <c r="O13" s="20"/>
      <c r="P13" s="20"/>
      <c r="Q13" s="20"/>
      <c r="R13" s="20"/>
      <c r="S13" s="20"/>
      <c r="T13" s="20"/>
      <c r="U13" s="20"/>
      <c r="V13" s="20"/>
      <c r="W13" s="6"/>
      <c r="X13" s="6"/>
      <c r="Y13" s="6"/>
      <c r="Z13" s="6"/>
    </row>
    <row r="14" ht="24.0" customHeight="1">
      <c r="A14" s="25" t="s">
        <v>18</v>
      </c>
      <c r="B14" s="14"/>
      <c r="C14" s="19"/>
      <c r="D14" s="20"/>
      <c r="E14" s="20"/>
      <c r="F14" s="20"/>
      <c r="G14" s="20"/>
      <c r="H14" s="20"/>
      <c r="I14" s="20"/>
      <c r="J14" s="20"/>
      <c r="K14" s="20"/>
      <c r="L14" s="20"/>
      <c r="M14" s="20"/>
      <c r="N14" s="20"/>
      <c r="O14" s="20"/>
      <c r="P14" s="20"/>
      <c r="Q14" s="20"/>
      <c r="R14" s="20"/>
      <c r="S14" s="20"/>
      <c r="T14" s="20"/>
      <c r="U14" s="20"/>
      <c r="V14" s="20"/>
      <c r="W14" s="6"/>
      <c r="X14" s="6"/>
      <c r="Y14" s="6"/>
      <c r="Z14" s="6"/>
    </row>
    <row r="15" ht="55.5" customHeight="1">
      <c r="A15" s="26" t="s">
        <v>19</v>
      </c>
      <c r="B15" s="14"/>
      <c r="C15" s="19"/>
      <c r="D15" s="20"/>
      <c r="E15" s="20"/>
      <c r="F15" s="20"/>
      <c r="G15" s="20"/>
      <c r="H15" s="20"/>
      <c r="I15" s="20"/>
      <c r="J15" s="20"/>
      <c r="K15" s="20"/>
      <c r="L15" s="20"/>
      <c r="M15" s="20"/>
      <c r="N15" s="20"/>
      <c r="O15" s="20"/>
      <c r="P15" s="20"/>
      <c r="Q15" s="20"/>
      <c r="R15" s="20"/>
      <c r="S15" s="20"/>
      <c r="T15" s="20"/>
      <c r="U15" s="20"/>
      <c r="V15" s="20"/>
      <c r="W15" s="6"/>
      <c r="X15" s="6"/>
      <c r="Y15" s="6"/>
      <c r="Z15" s="6"/>
    </row>
    <row r="16" ht="111.75" customHeight="1">
      <c r="A16" s="29" t="s">
        <v>20</v>
      </c>
      <c r="B16" s="14"/>
      <c r="C16" s="19"/>
      <c r="D16" s="20"/>
      <c r="E16" s="20"/>
      <c r="F16" s="20"/>
      <c r="G16" s="20"/>
      <c r="H16" s="20"/>
      <c r="I16" s="20"/>
      <c r="J16" s="20"/>
      <c r="K16" s="20"/>
      <c r="L16" s="20"/>
      <c r="M16" s="20"/>
      <c r="N16" s="20"/>
      <c r="O16" s="20"/>
      <c r="P16" s="20"/>
      <c r="Q16" s="20"/>
      <c r="R16" s="20"/>
      <c r="S16" s="20"/>
      <c r="T16" s="20"/>
      <c r="U16" s="20"/>
      <c r="V16" s="20"/>
      <c r="W16" s="6"/>
      <c r="X16" s="6"/>
      <c r="Y16" s="6"/>
      <c r="Z16" s="6"/>
    </row>
    <row r="17" ht="24.0" customHeight="1">
      <c r="A17" s="25" t="s">
        <v>21</v>
      </c>
      <c r="B17" s="14"/>
      <c r="C17" s="19"/>
      <c r="D17" s="20"/>
      <c r="E17" s="20"/>
      <c r="F17" s="20"/>
      <c r="G17" s="20"/>
      <c r="H17" s="20"/>
      <c r="I17" s="20"/>
      <c r="J17" s="20"/>
      <c r="K17" s="20"/>
      <c r="L17" s="20"/>
      <c r="M17" s="20"/>
      <c r="N17" s="20"/>
      <c r="O17" s="20"/>
      <c r="P17" s="20"/>
      <c r="Q17" s="20"/>
      <c r="R17" s="20"/>
      <c r="S17" s="20"/>
      <c r="T17" s="20"/>
      <c r="U17" s="20"/>
      <c r="V17" s="20"/>
      <c r="W17" s="6"/>
      <c r="X17" s="6"/>
      <c r="Y17" s="6"/>
      <c r="Z17" s="6"/>
    </row>
    <row r="18" ht="36.0" customHeight="1">
      <c r="A18" s="30" t="s">
        <v>22</v>
      </c>
      <c r="B18" s="28" t="s">
        <v>23</v>
      </c>
      <c r="C18" s="19"/>
      <c r="D18" s="20"/>
      <c r="E18" s="20"/>
      <c r="F18" s="20"/>
      <c r="G18" s="20"/>
      <c r="H18" s="20"/>
      <c r="I18" s="20"/>
      <c r="J18" s="20"/>
      <c r="K18" s="20"/>
      <c r="L18" s="20"/>
      <c r="M18" s="20"/>
      <c r="N18" s="20"/>
      <c r="O18" s="20"/>
      <c r="P18" s="20"/>
      <c r="Q18" s="20"/>
      <c r="R18" s="20"/>
      <c r="S18" s="20"/>
      <c r="T18" s="20"/>
      <c r="U18" s="20"/>
      <c r="V18" s="20"/>
      <c r="W18" s="6"/>
      <c r="X18" s="6"/>
      <c r="Y18" s="6"/>
      <c r="Z18" s="6"/>
    </row>
    <row r="19" ht="36.0" customHeight="1">
      <c r="A19" s="30" t="s">
        <v>24</v>
      </c>
      <c r="B19" s="28" t="s">
        <v>25</v>
      </c>
      <c r="C19" s="19"/>
      <c r="D19" s="20"/>
      <c r="E19" s="20"/>
      <c r="F19" s="20"/>
      <c r="G19" s="20"/>
      <c r="H19" s="20"/>
      <c r="I19" s="20"/>
      <c r="J19" s="20"/>
      <c r="K19" s="20"/>
      <c r="L19" s="20"/>
      <c r="M19" s="20"/>
      <c r="N19" s="20"/>
      <c r="O19" s="20"/>
      <c r="P19" s="20"/>
      <c r="Q19" s="20"/>
      <c r="R19" s="20"/>
      <c r="S19" s="20"/>
      <c r="T19" s="20"/>
      <c r="U19" s="20"/>
      <c r="V19" s="20"/>
      <c r="W19" s="6"/>
      <c r="X19" s="6"/>
      <c r="Y19" s="6"/>
      <c r="Z19" s="6"/>
    </row>
    <row r="20" ht="36.0" customHeight="1">
      <c r="A20" s="30" t="s">
        <v>26</v>
      </c>
      <c r="B20" s="28" t="s">
        <v>27</v>
      </c>
      <c r="C20" s="19"/>
      <c r="D20" s="20"/>
      <c r="E20" s="20"/>
      <c r="F20" s="20"/>
      <c r="G20" s="20"/>
      <c r="H20" s="20"/>
      <c r="I20" s="20"/>
      <c r="J20" s="20"/>
      <c r="K20" s="20"/>
      <c r="L20" s="20"/>
      <c r="M20" s="20"/>
      <c r="N20" s="20"/>
      <c r="O20" s="20"/>
      <c r="P20" s="20"/>
      <c r="Q20" s="20"/>
      <c r="R20" s="20"/>
      <c r="S20" s="20"/>
      <c r="T20" s="20"/>
      <c r="U20" s="20"/>
      <c r="V20" s="20"/>
      <c r="W20" s="6"/>
      <c r="X20" s="6"/>
      <c r="Y20" s="6"/>
      <c r="Z20" s="6"/>
    </row>
    <row r="21" ht="85.5" customHeight="1">
      <c r="A21" s="26" t="s">
        <v>28</v>
      </c>
      <c r="B21" s="14"/>
      <c r="C21" s="19"/>
      <c r="D21" s="20"/>
      <c r="E21" s="20"/>
      <c r="F21" s="20"/>
      <c r="G21" s="20"/>
      <c r="H21" s="20"/>
      <c r="I21" s="20"/>
      <c r="J21" s="20"/>
      <c r="K21" s="20"/>
      <c r="L21" s="20"/>
      <c r="M21" s="20"/>
      <c r="N21" s="20"/>
      <c r="O21" s="20"/>
      <c r="P21" s="20"/>
      <c r="Q21" s="20"/>
      <c r="R21" s="20"/>
      <c r="S21" s="20"/>
      <c r="T21" s="20"/>
      <c r="U21" s="20"/>
      <c r="V21" s="20"/>
      <c r="W21" s="6"/>
      <c r="X21" s="6"/>
      <c r="Y21" s="6"/>
      <c r="Z21" s="6"/>
    </row>
    <row r="22" ht="123.75" customHeight="1">
      <c r="A22" s="31"/>
      <c r="B22" s="32" t="s">
        <v>29</v>
      </c>
      <c r="C22" s="19"/>
      <c r="D22" s="20"/>
      <c r="E22" s="20"/>
      <c r="F22" s="20"/>
      <c r="G22" s="20"/>
      <c r="H22" s="20"/>
      <c r="I22" s="20"/>
      <c r="J22" s="20"/>
      <c r="K22" s="20"/>
      <c r="L22" s="20"/>
      <c r="M22" s="20"/>
      <c r="N22" s="20"/>
      <c r="O22" s="20"/>
      <c r="P22" s="20"/>
      <c r="Q22" s="20"/>
      <c r="R22" s="20"/>
      <c r="S22" s="20"/>
      <c r="T22" s="20"/>
      <c r="U22" s="20"/>
      <c r="V22" s="20"/>
      <c r="W22" s="6"/>
      <c r="X22" s="6"/>
      <c r="Y22" s="6"/>
      <c r="Z22" s="6"/>
    </row>
    <row r="23" ht="24.0" customHeight="1">
      <c r="A23" s="25" t="s">
        <v>30</v>
      </c>
      <c r="B23" s="14"/>
      <c r="C23" s="19"/>
      <c r="D23" s="20"/>
      <c r="E23" s="20"/>
      <c r="F23" s="20"/>
      <c r="G23" s="20"/>
      <c r="H23" s="20"/>
      <c r="I23" s="20"/>
      <c r="J23" s="20"/>
      <c r="K23" s="20"/>
      <c r="L23" s="20"/>
      <c r="M23" s="20"/>
      <c r="N23" s="20"/>
      <c r="O23" s="20"/>
      <c r="P23" s="20"/>
      <c r="Q23" s="20"/>
      <c r="R23" s="20"/>
      <c r="S23" s="20"/>
      <c r="T23" s="20"/>
      <c r="U23" s="20"/>
      <c r="V23" s="20"/>
      <c r="W23" s="6"/>
      <c r="X23" s="6"/>
      <c r="Y23" s="6"/>
      <c r="Z23" s="6"/>
    </row>
    <row r="24" ht="54.0" customHeight="1">
      <c r="A24" s="26" t="s">
        <v>31</v>
      </c>
      <c r="B24" s="14"/>
      <c r="C24" s="19"/>
      <c r="D24" s="20"/>
      <c r="E24" s="20"/>
      <c r="F24" s="20"/>
      <c r="G24" s="20"/>
      <c r="H24" s="20"/>
      <c r="I24" s="20"/>
      <c r="J24" s="20"/>
      <c r="K24" s="20"/>
      <c r="L24" s="20"/>
      <c r="M24" s="20"/>
      <c r="N24" s="20"/>
      <c r="O24" s="20"/>
      <c r="P24" s="20"/>
      <c r="Q24" s="20"/>
      <c r="R24" s="20"/>
      <c r="S24" s="20"/>
      <c r="T24" s="20"/>
      <c r="U24" s="20"/>
      <c r="V24" s="20"/>
      <c r="W24" s="6"/>
      <c r="X24" s="6"/>
      <c r="Y24" s="6"/>
      <c r="Z24" s="6"/>
    </row>
    <row r="25" ht="36.0" customHeight="1">
      <c r="A25" s="13" t="s">
        <v>32</v>
      </c>
      <c r="B25" s="14"/>
      <c r="C25" s="19"/>
      <c r="D25" s="20"/>
      <c r="E25" s="20"/>
      <c r="F25" s="20"/>
      <c r="G25" s="20"/>
      <c r="H25" s="20"/>
      <c r="I25" s="20"/>
      <c r="J25" s="20"/>
      <c r="K25" s="20"/>
      <c r="L25" s="20"/>
      <c r="M25" s="20"/>
      <c r="N25" s="20"/>
      <c r="O25" s="20"/>
      <c r="P25" s="20"/>
      <c r="Q25" s="20"/>
      <c r="R25" s="20"/>
      <c r="S25" s="20"/>
      <c r="T25" s="20"/>
      <c r="U25" s="20"/>
      <c r="V25" s="20"/>
      <c r="W25" s="6"/>
      <c r="X25" s="6"/>
      <c r="Y25" s="6"/>
      <c r="Z25" s="6"/>
    </row>
    <row r="26" ht="46.5" customHeight="1">
      <c r="A26" s="33"/>
      <c r="B26" s="34"/>
      <c r="C26" s="20"/>
      <c r="D26" s="20"/>
      <c r="E26" s="20"/>
      <c r="F26" s="20"/>
      <c r="G26" s="20"/>
      <c r="H26" s="20"/>
      <c r="I26" s="20"/>
      <c r="J26" s="20"/>
      <c r="K26" s="20"/>
      <c r="L26" s="20"/>
      <c r="M26" s="20"/>
      <c r="N26" s="20"/>
      <c r="O26" s="20"/>
      <c r="P26" s="20"/>
      <c r="Q26" s="20"/>
      <c r="R26" s="20"/>
      <c r="S26" s="20"/>
      <c r="T26" s="20"/>
      <c r="U26" s="20"/>
      <c r="V26" s="20"/>
      <c r="W26" s="6"/>
      <c r="X26" s="6"/>
      <c r="Y26" s="6"/>
      <c r="Z26" s="6"/>
    </row>
    <row r="27" ht="36.0" customHeight="1">
      <c r="A27" s="35" t="s">
        <v>33</v>
      </c>
      <c r="B27" s="14"/>
      <c r="C27" s="19"/>
      <c r="D27" s="20"/>
      <c r="E27" s="20"/>
      <c r="F27" s="20"/>
      <c r="G27" s="20"/>
      <c r="H27" s="20"/>
      <c r="I27" s="20"/>
      <c r="J27" s="20"/>
      <c r="K27" s="20"/>
      <c r="L27" s="20"/>
      <c r="M27" s="20"/>
      <c r="N27" s="20"/>
      <c r="O27" s="20"/>
      <c r="P27" s="20"/>
      <c r="Q27" s="20"/>
      <c r="R27" s="20"/>
      <c r="S27" s="20"/>
      <c r="T27" s="20"/>
      <c r="U27" s="20"/>
      <c r="V27" s="20"/>
      <c r="W27" s="6"/>
      <c r="X27" s="6"/>
      <c r="Y27" s="6"/>
      <c r="Z27" s="6"/>
    </row>
    <row r="28" ht="135.75" customHeight="1">
      <c r="A28" s="26" t="s">
        <v>34</v>
      </c>
      <c r="B28" s="14"/>
      <c r="C28" s="19"/>
      <c r="D28" s="20"/>
      <c r="E28" s="20"/>
      <c r="F28" s="20"/>
      <c r="G28" s="20"/>
      <c r="H28" s="20"/>
      <c r="I28" s="20"/>
      <c r="J28" s="20"/>
      <c r="K28" s="20"/>
      <c r="L28" s="20"/>
      <c r="M28" s="20"/>
      <c r="N28" s="20"/>
      <c r="O28" s="20"/>
      <c r="P28" s="20"/>
      <c r="Q28" s="20"/>
      <c r="R28" s="20"/>
      <c r="S28" s="20"/>
      <c r="T28" s="20"/>
      <c r="U28" s="20"/>
      <c r="V28" s="20"/>
      <c r="W28" s="6"/>
      <c r="X28" s="6"/>
      <c r="Y28" s="6"/>
      <c r="Z28" s="6"/>
    </row>
    <row r="29" ht="15.0" customHeight="1">
      <c r="A29" s="36"/>
      <c r="B29" s="37"/>
      <c r="C29" s="20"/>
      <c r="D29" s="20"/>
      <c r="E29" s="20"/>
      <c r="F29" s="20"/>
      <c r="G29" s="20"/>
      <c r="H29" s="20"/>
      <c r="I29" s="20"/>
      <c r="J29" s="20"/>
      <c r="K29" s="20"/>
      <c r="L29" s="20"/>
      <c r="M29" s="20"/>
      <c r="N29" s="20"/>
      <c r="O29" s="20"/>
      <c r="P29" s="20"/>
      <c r="Q29" s="20"/>
      <c r="R29" s="20"/>
      <c r="S29" s="20"/>
      <c r="T29" s="20"/>
      <c r="U29" s="20"/>
      <c r="V29" s="20"/>
      <c r="W29" s="6"/>
      <c r="X29" s="6"/>
      <c r="Y29" s="6"/>
      <c r="Z29" s="6"/>
    </row>
    <row r="30" ht="15.0" customHeight="1">
      <c r="A30" s="38"/>
      <c r="B30" s="20"/>
      <c r="C30" s="20"/>
      <c r="D30" s="20"/>
      <c r="E30" s="20"/>
      <c r="F30" s="20"/>
      <c r="G30" s="20"/>
      <c r="H30" s="20"/>
      <c r="I30" s="20"/>
      <c r="J30" s="20"/>
      <c r="K30" s="20"/>
      <c r="L30" s="20"/>
      <c r="M30" s="20"/>
      <c r="N30" s="20"/>
      <c r="O30" s="20"/>
      <c r="P30" s="20"/>
      <c r="Q30" s="20"/>
      <c r="R30" s="20"/>
      <c r="S30" s="20"/>
      <c r="T30" s="20"/>
      <c r="U30" s="20"/>
      <c r="V30" s="20"/>
      <c r="W30" s="6"/>
      <c r="X30" s="6"/>
      <c r="Y30" s="6"/>
      <c r="Z30" s="6"/>
    </row>
    <row r="31" ht="15.0" customHeight="1">
      <c r="A31" s="20"/>
      <c r="B31" s="20"/>
      <c r="C31" s="20"/>
      <c r="D31" s="20"/>
      <c r="E31" s="20"/>
      <c r="F31" s="20"/>
      <c r="G31" s="20"/>
      <c r="H31" s="20"/>
      <c r="I31" s="20"/>
      <c r="J31" s="20"/>
      <c r="K31" s="20"/>
      <c r="L31" s="20"/>
      <c r="M31" s="20"/>
      <c r="N31" s="20"/>
      <c r="O31" s="20"/>
      <c r="P31" s="20"/>
      <c r="Q31" s="20"/>
      <c r="R31" s="20"/>
      <c r="S31" s="20"/>
      <c r="T31" s="20"/>
      <c r="U31" s="20"/>
      <c r="V31" s="20"/>
      <c r="W31" s="6"/>
      <c r="X31" s="6"/>
      <c r="Y31" s="6"/>
      <c r="Z31" s="6"/>
    </row>
    <row r="32" ht="15.0" customHeight="1">
      <c r="A32" s="38"/>
      <c r="B32" s="20"/>
      <c r="C32" s="20"/>
      <c r="D32" s="20"/>
      <c r="E32" s="20"/>
      <c r="F32" s="20"/>
      <c r="G32" s="20"/>
      <c r="H32" s="20"/>
      <c r="I32" s="20"/>
      <c r="J32" s="20"/>
      <c r="K32" s="20"/>
      <c r="L32" s="20"/>
      <c r="M32" s="20"/>
      <c r="N32" s="20"/>
      <c r="O32" s="20"/>
      <c r="P32" s="20"/>
      <c r="Q32" s="20"/>
      <c r="R32" s="20"/>
      <c r="S32" s="20"/>
      <c r="T32" s="20"/>
      <c r="U32" s="20"/>
      <c r="V32" s="20"/>
      <c r="W32" s="6"/>
      <c r="X32" s="6"/>
      <c r="Y32" s="6"/>
      <c r="Z32" s="6"/>
    </row>
    <row r="33" ht="15.0" customHeight="1">
      <c r="A33" s="20"/>
      <c r="B33" s="20"/>
      <c r="C33" s="20"/>
      <c r="D33" s="20"/>
      <c r="E33" s="20"/>
      <c r="F33" s="20"/>
      <c r="G33" s="20"/>
      <c r="H33" s="20"/>
      <c r="I33" s="20"/>
      <c r="J33" s="20"/>
      <c r="K33" s="20"/>
      <c r="L33" s="20"/>
      <c r="M33" s="20"/>
      <c r="N33" s="20"/>
      <c r="O33" s="20"/>
      <c r="P33" s="20"/>
      <c r="Q33" s="20"/>
      <c r="R33" s="20"/>
      <c r="S33" s="20"/>
      <c r="T33" s="20"/>
      <c r="U33" s="20"/>
      <c r="V33" s="20"/>
      <c r="W33" s="6"/>
      <c r="X33" s="6"/>
      <c r="Y33" s="6"/>
      <c r="Z33" s="6"/>
    </row>
    <row r="34" ht="15.0" customHeight="1">
      <c r="A34" s="20"/>
      <c r="B34" s="20"/>
      <c r="C34" s="20"/>
      <c r="D34" s="20"/>
      <c r="E34" s="20"/>
      <c r="F34" s="20"/>
      <c r="G34" s="20"/>
      <c r="H34" s="20"/>
      <c r="I34" s="20"/>
      <c r="J34" s="20"/>
      <c r="K34" s="20"/>
      <c r="L34" s="20"/>
      <c r="M34" s="20"/>
      <c r="N34" s="20"/>
      <c r="O34" s="20"/>
      <c r="P34" s="20"/>
      <c r="Q34" s="20"/>
      <c r="R34" s="20"/>
      <c r="S34" s="20"/>
      <c r="T34" s="20"/>
      <c r="U34" s="20"/>
      <c r="V34" s="20"/>
      <c r="W34" s="6"/>
      <c r="X34" s="6"/>
      <c r="Y34" s="6"/>
      <c r="Z34" s="6"/>
    </row>
    <row r="35" ht="15.0" customHeight="1">
      <c r="A35" s="20"/>
      <c r="B35" s="20"/>
      <c r="C35" s="20"/>
      <c r="D35" s="20"/>
      <c r="E35" s="20"/>
      <c r="F35" s="20"/>
      <c r="G35" s="20"/>
      <c r="H35" s="20"/>
      <c r="I35" s="20"/>
      <c r="J35" s="20"/>
      <c r="K35" s="20"/>
      <c r="L35" s="20"/>
      <c r="M35" s="20"/>
      <c r="N35" s="20"/>
      <c r="O35" s="20"/>
      <c r="P35" s="20"/>
      <c r="Q35" s="20"/>
      <c r="R35" s="20"/>
      <c r="S35" s="20"/>
      <c r="T35" s="20"/>
      <c r="U35" s="20"/>
      <c r="V35" s="20"/>
      <c r="W35" s="6"/>
      <c r="X35" s="6"/>
      <c r="Y35" s="6"/>
      <c r="Z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9">
    <mergeCell ref="A1:B1"/>
    <mergeCell ref="A2:B2"/>
    <mergeCell ref="A3:B3"/>
    <mergeCell ref="A4:B4"/>
    <mergeCell ref="A5:B5"/>
    <mergeCell ref="A6:B6"/>
    <mergeCell ref="A12:B12"/>
    <mergeCell ref="A24:B24"/>
    <mergeCell ref="A25:B25"/>
    <mergeCell ref="A26:B26"/>
    <mergeCell ref="A27:B27"/>
    <mergeCell ref="A28:B28"/>
    <mergeCell ref="A13:B13"/>
    <mergeCell ref="A14:B14"/>
    <mergeCell ref="A15:B15"/>
    <mergeCell ref="A16:B16"/>
    <mergeCell ref="A17:B17"/>
    <mergeCell ref="A21:B21"/>
    <mergeCell ref="A23:B23"/>
  </mergeCells>
  <printOptions/>
  <pageMargins bottom="0.75" footer="0.0" header="0.0" left="0.7" right="0.7" top="0.75"/>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8.22"/>
    <col customWidth="1" min="2" max="2" width="58.44"/>
    <col customWidth="1" min="3" max="3" width="20.0"/>
    <col customWidth="1" min="4" max="4" width="50.67"/>
    <col customWidth="1" min="5" max="5" width="32.0"/>
    <col customWidth="1" min="6" max="26" width="6.67"/>
  </cols>
  <sheetData>
    <row r="1" ht="36.0" customHeight="1">
      <c r="A1" s="39" t="s">
        <v>35</v>
      </c>
      <c r="B1" s="40"/>
      <c r="C1" s="40"/>
      <c r="D1" s="14"/>
      <c r="E1" s="41" t="s">
        <v>36</v>
      </c>
      <c r="F1" s="3"/>
      <c r="G1" s="4"/>
      <c r="H1" s="4"/>
      <c r="I1" s="4"/>
      <c r="J1" s="4"/>
      <c r="K1" s="4"/>
      <c r="L1" s="4"/>
      <c r="M1" s="4"/>
      <c r="N1" s="4"/>
      <c r="O1" s="4"/>
      <c r="P1" s="4"/>
      <c r="Q1" s="4"/>
      <c r="R1" s="4"/>
      <c r="S1" s="4"/>
      <c r="T1" s="4"/>
      <c r="U1" s="4"/>
      <c r="V1" s="4"/>
      <c r="W1" s="4"/>
      <c r="X1" s="4"/>
      <c r="Y1" s="4"/>
      <c r="Z1" s="6"/>
    </row>
    <row r="2" ht="25.5" customHeight="1">
      <c r="A2" s="42" t="s">
        <v>37</v>
      </c>
      <c r="B2" s="40"/>
      <c r="C2" s="40"/>
      <c r="D2" s="40"/>
      <c r="E2" s="14"/>
      <c r="F2" s="7"/>
      <c r="G2" s="9"/>
      <c r="H2" s="9"/>
      <c r="I2" s="9"/>
      <c r="J2" s="9"/>
      <c r="K2" s="9"/>
      <c r="L2" s="9"/>
      <c r="M2" s="9"/>
      <c r="N2" s="9"/>
      <c r="O2" s="9"/>
      <c r="P2" s="9"/>
      <c r="Q2" s="9"/>
      <c r="R2" s="9"/>
      <c r="S2" s="9"/>
      <c r="T2" s="9"/>
      <c r="U2" s="9"/>
      <c r="V2" s="9"/>
      <c r="W2" s="9"/>
      <c r="X2" s="9"/>
      <c r="Y2" s="9"/>
      <c r="Z2" s="6"/>
    </row>
    <row r="3" ht="28.5" customHeight="1">
      <c r="A3" s="28" t="s">
        <v>38</v>
      </c>
      <c r="B3" s="43" t="s">
        <v>39</v>
      </c>
      <c r="C3" s="44">
        <v>44477.0</v>
      </c>
      <c r="D3" s="40"/>
      <c r="E3" s="14"/>
      <c r="F3" s="7"/>
      <c r="G3" s="9"/>
      <c r="H3" s="9"/>
      <c r="I3" s="9"/>
      <c r="J3" s="9"/>
      <c r="K3" s="9"/>
      <c r="L3" s="9"/>
      <c r="M3" s="9"/>
      <c r="N3" s="9"/>
      <c r="O3" s="9"/>
      <c r="P3" s="9"/>
      <c r="Q3" s="9"/>
      <c r="R3" s="9"/>
      <c r="S3" s="9"/>
      <c r="T3" s="9"/>
      <c r="U3" s="9"/>
      <c r="V3" s="9"/>
      <c r="W3" s="9"/>
      <c r="X3" s="9"/>
      <c r="Y3" s="9"/>
      <c r="Z3" s="6"/>
    </row>
    <row r="4" ht="36.0" customHeight="1">
      <c r="A4" s="45" t="s">
        <v>6</v>
      </c>
      <c r="B4" s="14"/>
      <c r="C4" s="46"/>
      <c r="D4" s="47"/>
      <c r="E4" s="48"/>
      <c r="F4" s="7"/>
      <c r="G4" s="9"/>
      <c r="H4" s="9"/>
      <c r="I4" s="9"/>
      <c r="J4" s="9"/>
      <c r="K4" s="9"/>
      <c r="L4" s="9"/>
      <c r="M4" s="9"/>
      <c r="N4" s="9"/>
      <c r="O4" s="9"/>
      <c r="P4" s="9"/>
      <c r="Q4" s="9"/>
      <c r="R4" s="9"/>
      <c r="S4" s="9"/>
      <c r="T4" s="9"/>
      <c r="U4" s="9"/>
      <c r="V4" s="9"/>
      <c r="W4" s="9"/>
      <c r="X4" s="9"/>
      <c r="Y4" s="9"/>
      <c r="Z4" s="6"/>
    </row>
    <row r="5" ht="72.0" customHeight="1">
      <c r="A5" s="49" t="s">
        <v>40</v>
      </c>
      <c r="B5" s="40"/>
      <c r="C5" s="40"/>
      <c r="D5" s="40"/>
      <c r="E5" s="14"/>
      <c r="F5" s="7"/>
      <c r="G5" s="9"/>
      <c r="H5" s="9"/>
      <c r="I5" s="9"/>
      <c r="J5" s="9"/>
      <c r="K5" s="9"/>
      <c r="L5" s="9"/>
      <c r="M5" s="9"/>
      <c r="N5" s="9"/>
      <c r="O5" s="9"/>
      <c r="P5" s="9"/>
      <c r="Q5" s="9"/>
      <c r="R5" s="9"/>
      <c r="S5" s="9"/>
      <c r="T5" s="9"/>
      <c r="U5" s="9"/>
      <c r="V5" s="9"/>
      <c r="W5" s="9"/>
      <c r="X5" s="9"/>
      <c r="Y5" s="9"/>
      <c r="Z5" s="6"/>
    </row>
    <row r="6" ht="24.0" customHeight="1">
      <c r="A6" s="50" t="s">
        <v>41</v>
      </c>
      <c r="B6" s="40"/>
      <c r="C6" s="40"/>
      <c r="D6" s="40"/>
      <c r="E6" s="14"/>
      <c r="F6" s="7"/>
      <c r="G6" s="9"/>
      <c r="H6" s="9"/>
      <c r="I6" s="9"/>
      <c r="J6" s="9"/>
      <c r="K6" s="9"/>
      <c r="L6" s="9"/>
      <c r="M6" s="9"/>
      <c r="N6" s="9"/>
      <c r="O6" s="9"/>
      <c r="P6" s="9"/>
      <c r="Q6" s="9"/>
      <c r="R6" s="9"/>
      <c r="S6" s="9"/>
      <c r="T6" s="9"/>
      <c r="U6" s="9"/>
      <c r="V6" s="9"/>
      <c r="W6" s="9"/>
      <c r="X6" s="9"/>
      <c r="Y6" s="9"/>
      <c r="Z6" s="6"/>
    </row>
    <row r="7" ht="21.75" customHeight="1">
      <c r="A7" s="51" t="s">
        <v>42</v>
      </c>
      <c r="B7" s="52" t="s">
        <v>43</v>
      </c>
      <c r="C7" s="53" t="s">
        <v>44</v>
      </c>
      <c r="D7" s="40"/>
      <c r="E7" s="14"/>
      <c r="F7" s="7"/>
      <c r="G7" s="9"/>
      <c r="H7" s="9"/>
      <c r="I7" s="9"/>
      <c r="J7" s="9"/>
      <c r="K7" s="9"/>
      <c r="L7" s="9"/>
      <c r="M7" s="9"/>
      <c r="N7" s="9"/>
      <c r="O7" s="9"/>
      <c r="P7" s="9"/>
      <c r="Q7" s="9"/>
      <c r="R7" s="9"/>
      <c r="S7" s="9"/>
      <c r="T7" s="9"/>
      <c r="U7" s="9"/>
      <c r="V7" s="9"/>
      <c r="W7" s="9"/>
      <c r="X7" s="9"/>
      <c r="Y7" s="9"/>
      <c r="Z7" s="6"/>
    </row>
    <row r="8" ht="21.75" customHeight="1">
      <c r="A8" s="51" t="s">
        <v>45</v>
      </c>
      <c r="B8" s="52" t="s">
        <v>46</v>
      </c>
      <c r="C8" s="53" t="s">
        <v>47</v>
      </c>
      <c r="D8" s="40"/>
      <c r="E8" s="14"/>
      <c r="F8" s="7"/>
      <c r="G8" s="9"/>
      <c r="H8" s="9"/>
      <c r="I8" s="9"/>
      <c r="J8" s="9"/>
      <c r="K8" s="9"/>
      <c r="L8" s="9"/>
      <c r="M8" s="9"/>
      <c r="N8" s="9"/>
      <c r="O8" s="9"/>
      <c r="P8" s="9"/>
      <c r="Q8" s="9"/>
      <c r="R8" s="9"/>
      <c r="S8" s="9"/>
      <c r="T8" s="9"/>
      <c r="U8" s="9"/>
      <c r="V8" s="9"/>
      <c r="W8" s="9"/>
      <c r="X8" s="9"/>
      <c r="Y8" s="9"/>
      <c r="Z8" s="6"/>
    </row>
    <row r="9" ht="21.75" customHeight="1">
      <c r="A9" s="51" t="s">
        <v>48</v>
      </c>
      <c r="B9" s="52" t="s">
        <v>49</v>
      </c>
      <c r="C9" s="53" t="s">
        <v>50</v>
      </c>
      <c r="D9" s="40"/>
      <c r="E9" s="14"/>
      <c r="F9" s="7"/>
      <c r="G9" s="9"/>
      <c r="H9" s="9"/>
      <c r="I9" s="9"/>
      <c r="J9" s="9"/>
      <c r="K9" s="9"/>
      <c r="L9" s="9"/>
      <c r="M9" s="9"/>
      <c r="N9" s="9"/>
      <c r="O9" s="9"/>
      <c r="P9" s="9"/>
      <c r="Q9" s="9"/>
      <c r="R9" s="9"/>
      <c r="S9" s="9"/>
      <c r="T9" s="9"/>
      <c r="U9" s="9"/>
      <c r="V9" s="9"/>
      <c r="W9" s="9"/>
      <c r="X9" s="9"/>
      <c r="Y9" s="9"/>
      <c r="Z9" s="6"/>
    </row>
    <row r="10" ht="21.75" customHeight="1">
      <c r="A10" s="51" t="s">
        <v>51</v>
      </c>
      <c r="B10" s="52" t="s">
        <v>52</v>
      </c>
      <c r="C10" s="54" t="s">
        <v>53</v>
      </c>
      <c r="D10" s="40"/>
      <c r="E10" s="14"/>
      <c r="F10" s="7"/>
      <c r="G10" s="9"/>
      <c r="H10" s="9"/>
      <c r="I10" s="9"/>
      <c r="J10" s="9"/>
      <c r="K10" s="9"/>
      <c r="L10" s="9"/>
      <c r="M10" s="9"/>
      <c r="N10" s="9"/>
      <c r="O10" s="9"/>
      <c r="P10" s="9"/>
      <c r="Q10" s="9"/>
      <c r="R10" s="9"/>
      <c r="S10" s="9"/>
      <c r="T10" s="9"/>
      <c r="U10" s="9"/>
      <c r="V10" s="9"/>
      <c r="W10" s="9"/>
      <c r="X10" s="9"/>
      <c r="Y10" s="9"/>
      <c r="Z10" s="6"/>
    </row>
    <row r="11" ht="21.75" customHeight="1">
      <c r="A11" s="51" t="s">
        <v>54</v>
      </c>
      <c r="B11" s="52" t="s">
        <v>55</v>
      </c>
      <c r="C11" s="53" t="s">
        <v>56</v>
      </c>
      <c r="D11" s="40"/>
      <c r="E11" s="14"/>
      <c r="F11" s="7"/>
      <c r="G11" s="9"/>
      <c r="H11" s="9"/>
      <c r="I11" s="9"/>
      <c r="J11" s="9"/>
      <c r="K11" s="9"/>
      <c r="L11" s="9"/>
      <c r="M11" s="9"/>
      <c r="N11" s="9"/>
      <c r="O11" s="9"/>
      <c r="P11" s="9"/>
      <c r="Q11" s="9"/>
      <c r="R11" s="9"/>
      <c r="S11" s="9"/>
      <c r="T11" s="9"/>
      <c r="U11" s="9"/>
      <c r="V11" s="9"/>
      <c r="W11" s="9"/>
      <c r="X11" s="9"/>
      <c r="Y11" s="9"/>
      <c r="Z11" s="6"/>
    </row>
    <row r="12" ht="21.75" customHeight="1">
      <c r="A12" s="51" t="s">
        <v>57</v>
      </c>
      <c r="B12" s="52" t="s">
        <v>58</v>
      </c>
      <c r="C12" s="53" t="s">
        <v>59</v>
      </c>
      <c r="D12" s="40"/>
      <c r="E12" s="14"/>
      <c r="F12" s="7"/>
      <c r="G12" s="9"/>
      <c r="H12" s="9"/>
      <c r="I12" s="9"/>
      <c r="J12" s="9"/>
      <c r="K12" s="9"/>
      <c r="L12" s="9"/>
      <c r="M12" s="9"/>
      <c r="N12" s="9"/>
      <c r="O12" s="9"/>
      <c r="P12" s="9"/>
      <c r="Q12" s="9"/>
      <c r="R12" s="9"/>
      <c r="S12" s="9"/>
      <c r="T12" s="9"/>
      <c r="U12" s="9"/>
      <c r="V12" s="9"/>
      <c r="W12" s="9"/>
      <c r="X12" s="9"/>
      <c r="Y12" s="9"/>
      <c r="Z12" s="6"/>
    </row>
    <row r="13" ht="21.75" customHeight="1">
      <c r="A13" s="51" t="s">
        <v>60</v>
      </c>
      <c r="B13" s="52" t="s">
        <v>61</v>
      </c>
      <c r="C13" s="54" t="s">
        <v>62</v>
      </c>
      <c r="D13" s="40"/>
      <c r="E13" s="14"/>
      <c r="F13" s="7"/>
      <c r="G13" s="9"/>
      <c r="H13" s="9"/>
      <c r="I13" s="9"/>
      <c r="J13" s="9"/>
      <c r="K13" s="9"/>
      <c r="L13" s="9"/>
      <c r="M13" s="9"/>
      <c r="N13" s="9"/>
      <c r="O13" s="9"/>
      <c r="P13" s="9"/>
      <c r="Q13" s="9"/>
      <c r="R13" s="9"/>
      <c r="S13" s="9"/>
      <c r="T13" s="9"/>
      <c r="U13" s="9"/>
      <c r="V13" s="9"/>
      <c r="W13" s="9"/>
      <c r="X13" s="9"/>
      <c r="Y13" s="9"/>
      <c r="Z13" s="6"/>
    </row>
    <row r="14" ht="21.75" customHeight="1">
      <c r="A14" s="51" t="s">
        <v>63</v>
      </c>
      <c r="B14" s="52" t="s">
        <v>64</v>
      </c>
      <c r="C14" s="53" t="s">
        <v>65</v>
      </c>
      <c r="D14" s="40"/>
      <c r="E14" s="14"/>
      <c r="F14" s="7"/>
      <c r="G14" s="9"/>
      <c r="H14" s="9"/>
      <c r="I14" s="9"/>
      <c r="J14" s="9"/>
      <c r="K14" s="9"/>
      <c r="L14" s="9"/>
      <c r="M14" s="9"/>
      <c r="N14" s="9"/>
      <c r="O14" s="9"/>
      <c r="P14" s="9"/>
      <c r="Q14" s="9"/>
      <c r="R14" s="9"/>
      <c r="S14" s="9"/>
      <c r="T14" s="9"/>
      <c r="U14" s="9"/>
      <c r="V14" s="9"/>
      <c r="W14" s="9"/>
      <c r="X14" s="9"/>
      <c r="Y14" s="9"/>
      <c r="Z14" s="6"/>
    </row>
    <row r="15" ht="21.75" customHeight="1">
      <c r="A15" s="51" t="s">
        <v>66</v>
      </c>
      <c r="B15" s="52" t="s">
        <v>26</v>
      </c>
      <c r="C15" s="55" t="s">
        <v>67</v>
      </c>
      <c r="D15" s="40"/>
      <c r="E15" s="14"/>
      <c r="F15" s="56"/>
      <c r="G15" s="57"/>
      <c r="H15" s="57"/>
      <c r="I15" s="57"/>
      <c r="J15" s="57"/>
      <c r="K15" s="57"/>
      <c r="L15" s="57"/>
      <c r="M15" s="57"/>
      <c r="N15" s="57"/>
      <c r="O15" s="57"/>
      <c r="P15" s="57"/>
      <c r="Q15" s="57"/>
      <c r="R15" s="57"/>
      <c r="S15" s="57"/>
      <c r="T15" s="57"/>
      <c r="U15" s="57"/>
      <c r="V15" s="57"/>
      <c r="W15" s="57"/>
      <c r="X15" s="57"/>
      <c r="Y15" s="57"/>
      <c r="Z15" s="6"/>
    </row>
    <row r="16" ht="21.75" customHeight="1">
      <c r="A16" s="51" t="s">
        <v>68</v>
      </c>
      <c r="B16" s="52" t="s">
        <v>24</v>
      </c>
      <c r="C16" s="53" t="s">
        <v>69</v>
      </c>
      <c r="D16" s="40"/>
      <c r="E16" s="14"/>
      <c r="F16" s="56"/>
      <c r="G16" s="57"/>
      <c r="H16" s="57"/>
      <c r="I16" s="57"/>
      <c r="J16" s="57"/>
      <c r="K16" s="57"/>
      <c r="L16" s="57"/>
      <c r="M16" s="57"/>
      <c r="N16" s="57"/>
      <c r="O16" s="57"/>
      <c r="P16" s="57"/>
      <c r="Q16" s="57"/>
      <c r="R16" s="57"/>
      <c r="S16" s="57"/>
      <c r="T16" s="57"/>
      <c r="U16" s="57"/>
      <c r="V16" s="57"/>
      <c r="W16" s="57"/>
      <c r="X16" s="57"/>
      <c r="Y16" s="57"/>
      <c r="Z16" s="6"/>
    </row>
    <row r="17" ht="24.0" customHeight="1">
      <c r="A17" s="50" t="s">
        <v>70</v>
      </c>
      <c r="B17" s="40"/>
      <c r="C17" s="40"/>
      <c r="D17" s="40"/>
      <c r="E17" s="14"/>
      <c r="F17" s="7"/>
      <c r="G17" s="9"/>
      <c r="H17" s="9"/>
      <c r="I17" s="9"/>
      <c r="J17" s="9"/>
      <c r="K17" s="9"/>
      <c r="L17" s="9"/>
      <c r="M17" s="9"/>
      <c r="N17" s="9"/>
      <c r="O17" s="9"/>
      <c r="P17" s="9"/>
      <c r="Q17" s="9"/>
      <c r="R17" s="9"/>
      <c r="S17" s="9"/>
      <c r="T17" s="9"/>
      <c r="U17" s="9"/>
      <c r="V17" s="9"/>
      <c r="W17" s="9"/>
      <c r="X17" s="9"/>
      <c r="Y17" s="9"/>
      <c r="Z17" s="6"/>
    </row>
    <row r="18" ht="21.75" customHeight="1">
      <c r="A18" s="51" t="s">
        <v>71</v>
      </c>
      <c r="B18" s="52" t="s">
        <v>72</v>
      </c>
      <c r="C18" s="58" t="s">
        <v>73</v>
      </c>
      <c r="D18" s="40"/>
      <c r="E18" s="14"/>
      <c r="F18" s="7"/>
      <c r="G18" s="9"/>
      <c r="H18" s="9"/>
      <c r="I18" s="9"/>
      <c r="J18" s="9"/>
      <c r="K18" s="9"/>
      <c r="L18" s="9"/>
      <c r="M18" s="9"/>
      <c r="N18" s="9"/>
      <c r="O18" s="9"/>
      <c r="P18" s="9"/>
      <c r="Q18" s="9"/>
      <c r="R18" s="9"/>
      <c r="S18" s="9"/>
      <c r="T18" s="9"/>
      <c r="U18" s="9"/>
      <c r="V18" s="9"/>
      <c r="W18" s="9"/>
      <c r="X18" s="9"/>
      <c r="Y18" s="9"/>
      <c r="Z18" s="6"/>
    </row>
    <row r="19" ht="21.75" customHeight="1">
      <c r="A19" s="51" t="s">
        <v>74</v>
      </c>
      <c r="B19" s="52" t="s">
        <v>75</v>
      </c>
      <c r="C19" s="59" t="s">
        <v>76</v>
      </c>
      <c r="D19" s="40"/>
      <c r="E19" s="14"/>
      <c r="F19" s="7"/>
      <c r="G19" s="9"/>
      <c r="H19" s="9"/>
      <c r="I19" s="9"/>
      <c r="J19" s="9"/>
      <c r="K19" s="9"/>
      <c r="L19" s="9"/>
      <c r="M19" s="9"/>
      <c r="N19" s="9"/>
      <c r="O19" s="9"/>
      <c r="P19" s="9"/>
      <c r="Q19" s="9"/>
      <c r="R19" s="9"/>
      <c r="S19" s="9"/>
      <c r="T19" s="9"/>
      <c r="U19" s="9"/>
      <c r="V19" s="9"/>
      <c r="W19" s="9"/>
      <c r="X19" s="9"/>
      <c r="Y19" s="9"/>
      <c r="Z19" s="6"/>
    </row>
    <row r="20" ht="36.0" customHeight="1">
      <c r="A20" s="45" t="s">
        <v>77</v>
      </c>
      <c r="B20" s="14"/>
      <c r="C20" s="46"/>
      <c r="D20" s="47"/>
      <c r="E20" s="48"/>
      <c r="F20" s="7"/>
      <c r="G20" s="9"/>
      <c r="H20" s="9"/>
      <c r="I20" s="9"/>
      <c r="J20" s="9"/>
      <c r="K20" s="9"/>
      <c r="L20" s="9"/>
      <c r="M20" s="9"/>
      <c r="N20" s="9"/>
      <c r="O20" s="9"/>
      <c r="P20" s="9"/>
      <c r="Q20" s="9"/>
      <c r="R20" s="9"/>
      <c r="S20" s="9"/>
      <c r="T20" s="9"/>
      <c r="U20" s="9"/>
      <c r="V20" s="9"/>
      <c r="W20" s="9"/>
      <c r="X20" s="9"/>
      <c r="Y20" s="9"/>
      <c r="Z20" s="6"/>
    </row>
    <row r="21" ht="48.0" customHeight="1">
      <c r="A21" s="49" t="s">
        <v>78</v>
      </c>
      <c r="B21" s="40"/>
      <c r="C21" s="40"/>
      <c r="D21" s="40"/>
      <c r="E21" s="14"/>
      <c r="F21" s="7"/>
      <c r="G21" s="9"/>
      <c r="H21" s="9"/>
      <c r="I21" s="9"/>
      <c r="J21" s="9"/>
      <c r="K21" s="9"/>
      <c r="L21" s="9"/>
      <c r="M21" s="9"/>
      <c r="N21" s="9"/>
      <c r="O21" s="9"/>
      <c r="P21" s="9"/>
      <c r="Q21" s="9"/>
      <c r="R21" s="9"/>
      <c r="S21" s="9"/>
      <c r="T21" s="9"/>
      <c r="U21" s="9"/>
      <c r="V21" s="9"/>
      <c r="W21" s="9"/>
      <c r="X21" s="9"/>
      <c r="Y21" s="9"/>
      <c r="Z21" s="6"/>
    </row>
    <row r="22" ht="36.75" customHeight="1">
      <c r="A22" s="45" t="s">
        <v>8</v>
      </c>
      <c r="B22" s="14"/>
      <c r="C22" s="60" t="s">
        <v>79</v>
      </c>
      <c r="D22" s="60" t="s">
        <v>80</v>
      </c>
      <c r="E22" s="61" t="s">
        <v>81</v>
      </c>
      <c r="F22" s="7"/>
      <c r="G22" s="9"/>
      <c r="H22" s="9"/>
      <c r="I22" s="9"/>
      <c r="J22" s="9"/>
      <c r="K22" s="9"/>
      <c r="L22" s="9"/>
      <c r="M22" s="9"/>
      <c r="N22" s="9"/>
      <c r="O22" s="9"/>
      <c r="P22" s="9"/>
      <c r="Q22" s="9"/>
      <c r="R22" s="9"/>
      <c r="S22" s="9"/>
      <c r="T22" s="9"/>
      <c r="U22" s="9"/>
      <c r="V22" s="9"/>
      <c r="W22" s="9"/>
      <c r="X22" s="9"/>
      <c r="Y22" s="9"/>
      <c r="Z22" s="6"/>
    </row>
    <row r="23" ht="48.0" customHeight="1">
      <c r="A23" s="49" t="s">
        <v>82</v>
      </c>
      <c r="B23" s="40"/>
      <c r="C23" s="40"/>
      <c r="D23" s="40"/>
      <c r="E23" s="14"/>
      <c r="F23" s="7"/>
      <c r="G23" s="9"/>
      <c r="H23" s="9"/>
      <c r="I23" s="9"/>
      <c r="J23" s="9"/>
      <c r="K23" s="9"/>
      <c r="L23" s="9"/>
      <c r="M23" s="9"/>
      <c r="N23" s="9"/>
      <c r="O23" s="9"/>
      <c r="P23" s="9"/>
      <c r="Q23" s="9"/>
      <c r="R23" s="9"/>
      <c r="S23" s="9"/>
      <c r="T23" s="9"/>
      <c r="U23" s="9"/>
      <c r="V23" s="9"/>
      <c r="W23" s="9"/>
      <c r="X23" s="9"/>
      <c r="Y23" s="9"/>
      <c r="Z23" s="6"/>
    </row>
    <row r="24" ht="48.0" customHeight="1">
      <c r="A24" s="51" t="s">
        <v>83</v>
      </c>
      <c r="B24" s="62" t="s">
        <v>84</v>
      </c>
      <c r="C24" s="63" t="s">
        <v>85</v>
      </c>
      <c r="D24" s="64"/>
      <c r="E24" s="65" t="str">
        <f>IF(C24="","",IF(C24="Yes","You are required to complete the questions in the HIPAA section.","Responses to the questions in the HIPAA section are optional."))</f>
        <v>Responses to the questions in the HIPAA section are optional.</v>
      </c>
      <c r="F24" s="7"/>
      <c r="G24" s="9"/>
      <c r="H24" s="9"/>
      <c r="I24" s="9"/>
      <c r="J24" s="9"/>
      <c r="K24" s="9"/>
      <c r="L24" s="9"/>
      <c r="M24" s="9"/>
      <c r="N24" s="9"/>
      <c r="O24" s="9"/>
      <c r="P24" s="9"/>
      <c r="Q24" s="9"/>
      <c r="R24" s="9"/>
      <c r="S24" s="9"/>
      <c r="T24" s="9"/>
      <c r="U24" s="9"/>
      <c r="V24" s="9"/>
      <c r="W24" s="9"/>
      <c r="X24" s="9"/>
      <c r="Y24" s="9"/>
      <c r="Z24" s="6"/>
    </row>
    <row r="25" ht="48.0" customHeight="1">
      <c r="A25" s="51" t="s">
        <v>86</v>
      </c>
      <c r="B25" s="62" t="s">
        <v>87</v>
      </c>
      <c r="C25" s="63" t="s">
        <v>85</v>
      </c>
      <c r="D25" s="66"/>
      <c r="E25" s="65" t="str">
        <f>IF(C25="","",IF(C25="Yes","You are required to complete the questions in the Mobile Application section.","Responses to the questions in the Mobile Application section are optional."))</f>
        <v>Responses to the questions in the Mobile Application section are optional.</v>
      </c>
      <c r="F25" s="7"/>
      <c r="G25" s="9"/>
      <c r="H25" s="9"/>
      <c r="I25" s="9"/>
      <c r="J25" s="9"/>
      <c r="K25" s="9"/>
      <c r="L25" s="9"/>
      <c r="M25" s="9"/>
      <c r="N25" s="9"/>
      <c r="O25" s="9"/>
      <c r="P25" s="9"/>
      <c r="Q25" s="9"/>
      <c r="R25" s="9"/>
      <c r="S25" s="9"/>
      <c r="T25" s="9"/>
      <c r="U25" s="9"/>
      <c r="V25" s="9"/>
      <c r="W25" s="9"/>
      <c r="X25" s="9"/>
      <c r="Y25" s="9"/>
      <c r="Z25" s="6"/>
    </row>
    <row r="26" ht="48.0" customHeight="1">
      <c r="A26" s="51" t="s">
        <v>88</v>
      </c>
      <c r="B26" s="62" t="s">
        <v>89</v>
      </c>
      <c r="C26" s="63" t="s">
        <v>90</v>
      </c>
      <c r="D26" s="66"/>
      <c r="E26" s="65" t="str">
        <f>IF(C26="","",IF(C26="Yes","You are required to complete the questions in the Third Parties section.","Responses to the questions in the Third Parties section are optional."))</f>
        <v>You are required to complete the questions in the Third Parties section.</v>
      </c>
      <c r="F26" s="7"/>
      <c r="G26" s="9"/>
      <c r="H26" s="9"/>
      <c r="I26" s="9"/>
      <c r="J26" s="9"/>
      <c r="K26" s="9"/>
      <c r="L26" s="9"/>
      <c r="M26" s="9"/>
      <c r="N26" s="9"/>
      <c r="O26" s="9"/>
      <c r="P26" s="9"/>
      <c r="Q26" s="9"/>
      <c r="R26" s="9"/>
      <c r="S26" s="9"/>
      <c r="T26" s="9"/>
      <c r="U26" s="9"/>
      <c r="V26" s="9"/>
      <c r="W26" s="9"/>
      <c r="X26" s="9"/>
      <c r="Y26" s="9"/>
      <c r="Z26" s="6"/>
    </row>
    <row r="27" ht="48.0" customHeight="1">
      <c r="A27" s="51" t="s">
        <v>91</v>
      </c>
      <c r="B27" s="62" t="s">
        <v>92</v>
      </c>
      <c r="C27" s="63" t="s">
        <v>90</v>
      </c>
      <c r="D27" s="64"/>
      <c r="E27" s="65" t="str">
        <f>IF(C27="","",IF(C27="Yes","You are required to complete the questions in the Business Continuity section.","Respond to as many questions in the Business Continuity section as possible."))</f>
        <v>You are required to complete the questions in the Business Continuity section.</v>
      </c>
      <c r="F27" s="7"/>
      <c r="G27" s="9"/>
      <c r="H27" s="9"/>
      <c r="I27" s="9"/>
      <c r="J27" s="9"/>
      <c r="K27" s="9"/>
      <c r="L27" s="9"/>
      <c r="M27" s="9"/>
      <c r="N27" s="9"/>
      <c r="O27" s="9"/>
      <c r="P27" s="9"/>
      <c r="Q27" s="9"/>
      <c r="R27" s="9"/>
      <c r="S27" s="9"/>
      <c r="T27" s="9"/>
      <c r="U27" s="9"/>
      <c r="V27" s="9"/>
      <c r="W27" s="9"/>
      <c r="X27" s="9"/>
      <c r="Y27" s="9"/>
      <c r="Z27" s="6"/>
    </row>
    <row r="28" ht="48.0" customHeight="1">
      <c r="A28" s="51" t="s">
        <v>93</v>
      </c>
      <c r="B28" s="62" t="s">
        <v>94</v>
      </c>
      <c r="C28" s="63" t="s">
        <v>90</v>
      </c>
      <c r="D28" s="64"/>
      <c r="E28" s="65" t="str">
        <f>IF(C28="","",IF(C28="Yes","You are required to complete the questions in the Disaster Recovery section.","Respond to as many questions in the Disaster Recovery section as possible."))</f>
        <v>You are required to complete the questions in the Disaster Recovery section.</v>
      </c>
      <c r="F28" s="7"/>
      <c r="G28" s="9"/>
      <c r="H28" s="9"/>
      <c r="I28" s="9"/>
      <c r="J28" s="9"/>
      <c r="K28" s="9"/>
      <c r="L28" s="9"/>
      <c r="M28" s="9"/>
      <c r="N28" s="9"/>
      <c r="O28" s="9"/>
      <c r="P28" s="9"/>
      <c r="Q28" s="9"/>
      <c r="R28" s="9"/>
      <c r="S28" s="9"/>
      <c r="T28" s="9"/>
      <c r="U28" s="9"/>
      <c r="V28" s="9"/>
      <c r="W28" s="9"/>
      <c r="X28" s="9"/>
      <c r="Y28" s="9"/>
      <c r="Z28" s="6"/>
    </row>
    <row r="29" ht="48.0" customHeight="1">
      <c r="A29" s="51" t="s">
        <v>95</v>
      </c>
      <c r="B29" s="62" t="s">
        <v>96</v>
      </c>
      <c r="C29" s="63" t="s">
        <v>85</v>
      </c>
      <c r="D29" s="64"/>
      <c r="E29" s="65" t="str">
        <f>IF(C29="","",IF(C29="Yes","You are required to complete the questions in the PCI DSS section.","Responses to the questions in the PCI DSS section are optional."))</f>
        <v>Responses to the questions in the PCI DSS section are optional.</v>
      </c>
      <c r="F29" s="7"/>
      <c r="G29" s="9"/>
      <c r="H29" s="9"/>
      <c r="I29" s="9"/>
      <c r="J29" s="9"/>
      <c r="K29" s="9"/>
      <c r="L29" s="9"/>
      <c r="M29" s="9"/>
      <c r="N29" s="9"/>
      <c r="O29" s="9"/>
      <c r="P29" s="9"/>
      <c r="Q29" s="9"/>
      <c r="R29" s="9"/>
      <c r="S29" s="9"/>
      <c r="T29" s="9"/>
      <c r="U29" s="9"/>
      <c r="V29" s="9"/>
      <c r="W29" s="9"/>
      <c r="X29" s="9"/>
      <c r="Y29" s="9"/>
      <c r="Z29" s="6"/>
    </row>
    <row r="30" ht="63.75" customHeight="1">
      <c r="A30" s="51" t="s">
        <v>97</v>
      </c>
      <c r="B30" s="62" t="s">
        <v>98</v>
      </c>
      <c r="C30" s="63" t="s">
        <v>85</v>
      </c>
      <c r="D30" s="64"/>
      <c r="E30" s="65" t="str">
        <f>IF(C30="","",IF(C30="Yes","You are required to complete the questions in the Consulting section. All questions AFTER the Consulting section are OPTIONAL.","Responses to the questions in the Consulting section are optional."))</f>
        <v>Responses to the questions in the Consulting section are optional.</v>
      </c>
      <c r="F30" s="7"/>
      <c r="G30" s="9"/>
      <c r="H30" s="9"/>
      <c r="I30" s="9"/>
      <c r="J30" s="9"/>
      <c r="K30" s="9"/>
      <c r="L30" s="9"/>
      <c r="M30" s="9"/>
      <c r="N30" s="9"/>
      <c r="O30" s="9"/>
      <c r="P30" s="9"/>
      <c r="Q30" s="9"/>
      <c r="R30" s="9"/>
      <c r="S30" s="9"/>
      <c r="T30" s="9"/>
      <c r="U30" s="9"/>
      <c r="V30" s="9"/>
      <c r="W30" s="9"/>
      <c r="X30" s="9"/>
      <c r="Y30" s="9"/>
      <c r="Z30" s="6"/>
    </row>
    <row r="31" ht="36.0" customHeight="1">
      <c r="A31" s="45" t="s">
        <v>10</v>
      </c>
      <c r="B31" s="14"/>
      <c r="C31" s="60" t="s">
        <v>79</v>
      </c>
      <c r="D31" s="60" t="s">
        <v>80</v>
      </c>
      <c r="E31" s="61" t="s">
        <v>81</v>
      </c>
      <c r="F31" s="7"/>
      <c r="G31" s="9"/>
      <c r="H31" s="9"/>
      <c r="I31" s="9"/>
      <c r="J31" s="9"/>
      <c r="K31" s="9"/>
      <c r="L31" s="9"/>
      <c r="M31" s="9"/>
      <c r="N31" s="9"/>
      <c r="O31" s="9"/>
      <c r="P31" s="9"/>
      <c r="Q31" s="9"/>
      <c r="R31" s="9"/>
      <c r="S31" s="9"/>
      <c r="T31" s="9"/>
      <c r="U31" s="9"/>
      <c r="V31" s="9"/>
      <c r="W31" s="9"/>
      <c r="X31" s="9"/>
      <c r="Y31" s="9"/>
      <c r="Z31" s="6"/>
    </row>
    <row r="32" ht="96.75" customHeight="1">
      <c r="A32" s="51" t="s">
        <v>99</v>
      </c>
      <c r="B32" s="62" t="s">
        <v>100</v>
      </c>
      <c r="C32" s="63" t="s">
        <v>85</v>
      </c>
      <c r="D32" s="67" t="s">
        <v>101</v>
      </c>
      <c r="E32" s="65" t="str">
        <f>IF(C32="","",IF(C32="Yes","Provide the date of assessment and include a SOC 2 Type 2 (preferred) or SOC 3 report. If you have a SOC3 report, include a URL for the published report. Indicate if your hosting provider was the subject of the audit.","Describe any plans to undergo a SSAE 16 audit."))</f>
        <v>Describe any plans to undergo a SSAE 16 audit.</v>
      </c>
      <c r="F32" s="7"/>
      <c r="G32" s="9"/>
      <c r="H32" s="9"/>
      <c r="I32" s="9"/>
      <c r="J32" s="9"/>
      <c r="K32" s="9"/>
      <c r="L32" s="9"/>
      <c r="M32" s="9"/>
      <c r="N32" s="9"/>
      <c r="O32" s="9"/>
      <c r="P32" s="9"/>
      <c r="Q32" s="9"/>
      <c r="R32" s="9"/>
      <c r="S32" s="9"/>
      <c r="T32" s="9"/>
      <c r="U32" s="9"/>
      <c r="V32" s="9"/>
      <c r="W32" s="9"/>
      <c r="X32" s="9"/>
      <c r="Y32" s="9"/>
      <c r="Z32" s="6"/>
    </row>
    <row r="33" ht="48.0" customHeight="1">
      <c r="A33" s="51" t="s">
        <v>102</v>
      </c>
      <c r="B33" s="62" t="s">
        <v>103</v>
      </c>
      <c r="C33" s="63" t="s">
        <v>90</v>
      </c>
      <c r="D33" s="68" t="s">
        <v>104</v>
      </c>
      <c r="E33" s="65" t="str">
        <f>IF(C33="","",IF(C33="Yes","Please include a copy with your response and include a URL for the published assessment.","Describe any plans to complete the CSA self assessment or CAIQ."))</f>
        <v>Please include a copy with your response and include a URL for the published assessment.</v>
      </c>
      <c r="F33" s="7"/>
      <c r="G33" s="9"/>
      <c r="H33" s="9"/>
      <c r="I33" s="9"/>
      <c r="J33" s="9"/>
      <c r="K33" s="9"/>
      <c r="L33" s="9"/>
      <c r="M33" s="9"/>
      <c r="N33" s="9"/>
      <c r="O33" s="9"/>
      <c r="P33" s="9"/>
      <c r="Q33" s="9"/>
      <c r="R33" s="9"/>
      <c r="S33" s="9"/>
      <c r="T33" s="9"/>
      <c r="U33" s="9"/>
      <c r="V33" s="9"/>
      <c r="W33" s="9"/>
      <c r="X33" s="9"/>
      <c r="Y33" s="9"/>
      <c r="Z33" s="6"/>
    </row>
    <row r="34" ht="48.0" customHeight="1">
      <c r="A34" s="51" t="s">
        <v>105</v>
      </c>
      <c r="B34" s="62" t="s">
        <v>106</v>
      </c>
      <c r="C34" s="63" t="s">
        <v>85</v>
      </c>
      <c r="D34" s="67" t="s">
        <v>101</v>
      </c>
      <c r="E34" s="65" t="str">
        <f>IF(C34="","",IF(C34="Yes","Provide date of certification, any supporting documentation, and a URL for the certification.","Describe any plans to obtain CSA STAR certification."))</f>
        <v>Describe any plans to obtain CSA STAR certification.</v>
      </c>
      <c r="F34" s="7"/>
      <c r="G34" s="9"/>
      <c r="H34" s="9"/>
      <c r="I34" s="9"/>
      <c r="J34" s="9"/>
      <c r="K34" s="9"/>
      <c r="L34" s="9"/>
      <c r="M34" s="9"/>
      <c r="N34" s="9"/>
      <c r="O34" s="9"/>
      <c r="P34" s="9"/>
      <c r="Q34" s="9"/>
      <c r="R34" s="9"/>
      <c r="S34" s="9"/>
      <c r="T34" s="9"/>
      <c r="U34" s="9"/>
      <c r="V34" s="9"/>
      <c r="W34" s="9"/>
      <c r="X34" s="9"/>
      <c r="Y34" s="9"/>
      <c r="Z34" s="6"/>
    </row>
    <row r="35" ht="63.75" customHeight="1">
      <c r="A35" s="51" t="s">
        <v>107</v>
      </c>
      <c r="B35" s="62" t="s">
        <v>108</v>
      </c>
      <c r="C35" s="63" t="s">
        <v>90</v>
      </c>
      <c r="D35" s="69" t="s">
        <v>109</v>
      </c>
      <c r="E35" s="65" t="str">
        <f>IF(C35="","",IF(C35="Yes","Provide documentation on how your organization conforms to each framework and indicate current certification levels, where appropriate.","Describe any plans to conform to an industry standard security framework."))</f>
        <v>Provide documentation on how your organization conforms to each framework and indicate current certification levels, where appropriate.</v>
      </c>
      <c r="F35" s="7"/>
      <c r="G35" s="9"/>
      <c r="H35" s="9"/>
      <c r="I35" s="9"/>
      <c r="J35" s="9"/>
      <c r="K35" s="9"/>
      <c r="L35" s="9"/>
      <c r="M35" s="9"/>
      <c r="N35" s="9"/>
      <c r="O35" s="9"/>
      <c r="P35" s="9"/>
      <c r="Q35" s="9"/>
      <c r="R35" s="9"/>
      <c r="S35" s="9"/>
      <c r="T35" s="9"/>
      <c r="U35" s="9"/>
      <c r="V35" s="9"/>
      <c r="W35" s="9"/>
      <c r="X35" s="9"/>
      <c r="Y35" s="9"/>
      <c r="Z35" s="6"/>
    </row>
    <row r="36" ht="63.75" customHeight="1">
      <c r="A36" s="51" t="s">
        <v>110</v>
      </c>
      <c r="B36" s="62" t="s">
        <v>111</v>
      </c>
      <c r="C36" s="63" t="s">
        <v>85</v>
      </c>
      <c r="D36" s="63" t="s">
        <v>112</v>
      </c>
      <c r="E36" s="65" t="str">
        <f>IF(C36="","",IF(C36="Yes","Indicate level, agency issuing ATO, and necessary details on ATO. If using FEDRamp, please indicate the supporting details.","Describe any plans to become FISMA compliant."))</f>
        <v>Describe any plans to become FISMA compliant.</v>
      </c>
      <c r="F36" s="7"/>
      <c r="G36" s="9"/>
      <c r="H36" s="9"/>
      <c r="I36" s="9"/>
      <c r="J36" s="9"/>
      <c r="K36" s="9"/>
      <c r="L36" s="9"/>
      <c r="M36" s="9"/>
      <c r="N36" s="9"/>
      <c r="O36" s="9"/>
      <c r="P36" s="9"/>
      <c r="Q36" s="9"/>
      <c r="R36" s="9"/>
      <c r="S36" s="9"/>
      <c r="T36" s="9"/>
      <c r="U36" s="9"/>
      <c r="V36" s="9"/>
      <c r="W36" s="9"/>
      <c r="X36" s="9"/>
      <c r="Y36" s="9"/>
      <c r="Z36" s="6"/>
    </row>
    <row r="37" ht="48.0" customHeight="1">
      <c r="A37" s="51" t="s">
        <v>113</v>
      </c>
      <c r="B37" s="62" t="s">
        <v>114</v>
      </c>
      <c r="C37" s="63" t="s">
        <v>90</v>
      </c>
      <c r="D37" s="70" t="s">
        <v>115</v>
      </c>
      <c r="E37" s="65" t="str">
        <f>IF(C37="","",IF(C37="Yes","Provide your data privacy document (or a valid link to it) upon submission.","Describe your plans to provide a data privacy document."))</f>
        <v>Provide your data privacy document (or a valid link to it) upon submission.</v>
      </c>
      <c r="F37" s="7"/>
      <c r="G37" s="9"/>
      <c r="H37" s="9"/>
      <c r="I37" s="9"/>
      <c r="J37" s="9"/>
      <c r="K37" s="9"/>
      <c r="L37" s="9"/>
      <c r="M37" s="9"/>
      <c r="N37" s="9"/>
      <c r="O37" s="9"/>
      <c r="P37" s="9"/>
      <c r="Q37" s="9"/>
      <c r="R37" s="9"/>
      <c r="S37" s="9"/>
      <c r="T37" s="9"/>
      <c r="U37" s="9"/>
      <c r="V37" s="9"/>
      <c r="W37" s="9"/>
      <c r="X37" s="9"/>
      <c r="Y37" s="9"/>
      <c r="Z37" s="6"/>
    </row>
    <row r="38" ht="36.0" customHeight="1">
      <c r="A38" s="45" t="s">
        <v>12</v>
      </c>
      <c r="B38" s="14"/>
      <c r="C38" s="60" t="s">
        <v>79</v>
      </c>
      <c r="D38" s="60" t="s">
        <v>80</v>
      </c>
      <c r="E38" s="61" t="s">
        <v>81</v>
      </c>
      <c r="F38" s="7"/>
      <c r="G38" s="9"/>
      <c r="H38" s="9"/>
      <c r="I38" s="9"/>
      <c r="J38" s="9"/>
      <c r="K38" s="9"/>
      <c r="L38" s="9"/>
      <c r="M38" s="9"/>
      <c r="N38" s="9"/>
      <c r="O38" s="9"/>
      <c r="P38" s="9"/>
      <c r="Q38" s="9"/>
      <c r="R38" s="9"/>
      <c r="S38" s="9"/>
      <c r="T38" s="9"/>
      <c r="U38" s="9"/>
      <c r="V38" s="9"/>
      <c r="W38" s="9"/>
      <c r="X38" s="9"/>
      <c r="Y38" s="9"/>
      <c r="Z38" s="6"/>
    </row>
    <row r="39" ht="54.0" customHeight="1">
      <c r="A39" s="51" t="s">
        <v>116</v>
      </c>
      <c r="B39" s="62" t="s">
        <v>117</v>
      </c>
      <c r="C39" s="71" t="s">
        <v>118</v>
      </c>
      <c r="D39" s="14"/>
      <c r="E39" s="65" t="s">
        <v>119</v>
      </c>
      <c r="F39" s="7"/>
      <c r="G39" s="9"/>
      <c r="H39" s="9"/>
      <c r="I39" s="9"/>
      <c r="J39" s="9"/>
      <c r="K39" s="9"/>
      <c r="L39" s="9"/>
      <c r="M39" s="9"/>
      <c r="N39" s="9"/>
      <c r="O39" s="9"/>
      <c r="P39" s="9"/>
      <c r="Q39" s="9"/>
      <c r="R39" s="9"/>
      <c r="S39" s="9"/>
      <c r="T39" s="9"/>
      <c r="U39" s="9"/>
      <c r="V39" s="9"/>
      <c r="W39" s="9"/>
      <c r="X39" s="9"/>
      <c r="Y39" s="9"/>
      <c r="Z39" s="6"/>
    </row>
    <row r="40" ht="54.0" customHeight="1">
      <c r="A40" s="51" t="s">
        <v>120</v>
      </c>
      <c r="B40" s="62" t="s">
        <v>121</v>
      </c>
      <c r="C40" s="72" t="s">
        <v>122</v>
      </c>
      <c r="D40" s="14"/>
      <c r="E40" s="65" t="s">
        <v>123</v>
      </c>
      <c r="F40" s="7"/>
      <c r="G40" s="9"/>
      <c r="H40" s="9"/>
      <c r="I40" s="9"/>
      <c r="J40" s="9"/>
      <c r="K40" s="9"/>
      <c r="L40" s="9"/>
      <c r="M40" s="9"/>
      <c r="N40" s="9"/>
      <c r="O40" s="9"/>
      <c r="P40" s="9"/>
      <c r="Q40" s="9"/>
      <c r="R40" s="9"/>
      <c r="S40" s="9"/>
      <c r="T40" s="9"/>
      <c r="U40" s="9"/>
      <c r="V40" s="9"/>
      <c r="W40" s="9"/>
      <c r="X40" s="9"/>
      <c r="Y40" s="9"/>
      <c r="Z40" s="6"/>
    </row>
    <row r="41" ht="54.0" customHeight="1">
      <c r="A41" s="51" t="s">
        <v>124</v>
      </c>
      <c r="B41" s="62" t="s">
        <v>125</v>
      </c>
      <c r="C41" s="63" t="s">
        <v>90</v>
      </c>
      <c r="D41" s="73" t="s">
        <v>126</v>
      </c>
      <c r="E41" s="65" t="str">
        <f>IF(C41="","",IF(C41="Yes","Provide a list of Higher Ed references, with contact information.","State your primary industry."))</f>
        <v>Provide a list of Higher Ed references, with contact information.</v>
      </c>
      <c r="F41" s="7"/>
      <c r="G41" s="9"/>
      <c r="H41" s="9"/>
      <c r="I41" s="9"/>
      <c r="J41" s="9"/>
      <c r="K41" s="9"/>
      <c r="L41" s="9"/>
      <c r="M41" s="9"/>
      <c r="N41" s="9"/>
      <c r="O41" s="9"/>
      <c r="P41" s="9"/>
      <c r="Q41" s="9"/>
      <c r="R41" s="9"/>
      <c r="S41" s="9"/>
      <c r="T41" s="9"/>
      <c r="U41" s="9"/>
      <c r="V41" s="9"/>
      <c r="W41" s="9"/>
      <c r="X41" s="9"/>
      <c r="Y41" s="9"/>
      <c r="Z41" s="6"/>
    </row>
    <row r="42" ht="63.75" customHeight="1">
      <c r="A42" s="51" t="s">
        <v>127</v>
      </c>
      <c r="B42" s="62" t="s">
        <v>128</v>
      </c>
      <c r="C42" s="63" t="s">
        <v>85</v>
      </c>
      <c r="D42" s="66"/>
      <c r="E42" s="65" t="str">
        <f>IF(C42="","",IF(C42="Yes","Provide a detailed summary of the breach.",""))</f>
        <v/>
      </c>
      <c r="F42" s="7"/>
      <c r="G42" s="9"/>
      <c r="H42" s="9"/>
      <c r="I42" s="9"/>
      <c r="J42" s="9"/>
      <c r="K42" s="9"/>
      <c r="L42" s="9"/>
      <c r="M42" s="9"/>
      <c r="N42" s="9"/>
      <c r="O42" s="9"/>
      <c r="P42" s="9"/>
      <c r="Q42" s="9"/>
      <c r="R42" s="9"/>
      <c r="S42" s="9"/>
      <c r="T42" s="9"/>
      <c r="U42" s="9"/>
      <c r="V42" s="9"/>
      <c r="W42" s="9"/>
      <c r="X42" s="9"/>
      <c r="Y42" s="9"/>
      <c r="Z42" s="6"/>
    </row>
    <row r="43" ht="54.0" customHeight="1">
      <c r="A43" s="51" t="s">
        <v>129</v>
      </c>
      <c r="B43" s="62" t="s">
        <v>130</v>
      </c>
      <c r="C43" s="63" t="s">
        <v>85</v>
      </c>
      <c r="D43" s="73" t="s">
        <v>131</v>
      </c>
      <c r="E43" s="65" t="str">
        <f>IF(C43="","",IF(C43="Yes","Decribe your Information Security Office, including size, talents, resources, etc.","Describe any plans to create an Information Security Office for your organization."))</f>
        <v>Describe any plans to create an Information Security Office for your organization.</v>
      </c>
      <c r="F43" s="7"/>
      <c r="G43" s="9"/>
      <c r="H43" s="9"/>
      <c r="I43" s="9"/>
      <c r="J43" s="9"/>
      <c r="K43" s="9"/>
      <c r="L43" s="9"/>
      <c r="M43" s="9"/>
      <c r="N43" s="9"/>
      <c r="O43" s="9"/>
      <c r="P43" s="9"/>
      <c r="Q43" s="9"/>
      <c r="R43" s="9"/>
      <c r="S43" s="9"/>
      <c r="T43" s="9"/>
      <c r="U43" s="9"/>
      <c r="V43" s="9"/>
      <c r="W43" s="9"/>
      <c r="X43" s="9"/>
      <c r="Y43" s="9"/>
      <c r="Z43" s="6"/>
    </row>
    <row r="44" ht="63.75" customHeight="1">
      <c r="A44" s="51" t="s">
        <v>132</v>
      </c>
      <c r="B44" s="62" t="s">
        <v>133</v>
      </c>
      <c r="C44" s="63" t="s">
        <v>85</v>
      </c>
      <c r="D44" s="73" t="s">
        <v>134</v>
      </c>
      <c r="E44" s="65" t="str">
        <f>IF(C44="","",IF(C44="Yes","Describe the structure and size of your Software and System Development teams. (e.g. Customer Support, Implementation, Product Management, etc.)","Describe any plans to create an Information Security Office for your organization."))</f>
        <v>Describe any plans to create an Information Security Office for your organization.</v>
      </c>
      <c r="F44" s="7"/>
      <c r="G44" s="9"/>
      <c r="H44" s="9"/>
      <c r="I44" s="9"/>
      <c r="J44" s="9"/>
      <c r="K44" s="9"/>
      <c r="L44" s="9"/>
      <c r="M44" s="9"/>
      <c r="N44" s="9"/>
      <c r="O44" s="9"/>
      <c r="P44" s="9"/>
      <c r="Q44" s="9"/>
      <c r="R44" s="9"/>
      <c r="S44" s="9"/>
      <c r="T44" s="9"/>
      <c r="U44" s="9"/>
      <c r="V44" s="9"/>
      <c r="W44" s="9"/>
      <c r="X44" s="9"/>
      <c r="Y44" s="9"/>
      <c r="Z44" s="6"/>
    </row>
    <row r="45" ht="82.5" customHeight="1">
      <c r="A45" s="51" t="s">
        <v>135</v>
      </c>
      <c r="B45" s="62" t="s">
        <v>136</v>
      </c>
      <c r="C45" s="72" t="s">
        <v>137</v>
      </c>
      <c r="D45" s="14"/>
      <c r="E45" s="65" t="s">
        <v>138</v>
      </c>
      <c r="F45" s="7"/>
      <c r="G45" s="9"/>
      <c r="H45" s="9"/>
      <c r="I45" s="9"/>
      <c r="J45" s="9"/>
      <c r="K45" s="9"/>
      <c r="L45" s="9"/>
      <c r="M45" s="9"/>
      <c r="N45" s="9"/>
      <c r="O45" s="9"/>
      <c r="P45" s="9"/>
      <c r="Q45" s="9"/>
      <c r="R45" s="9"/>
      <c r="S45" s="9"/>
      <c r="T45" s="9"/>
      <c r="U45" s="9"/>
      <c r="V45" s="9"/>
      <c r="W45" s="9"/>
      <c r="X45" s="9"/>
      <c r="Y45" s="9"/>
      <c r="Z45" s="6"/>
    </row>
    <row r="46" ht="36.0" customHeight="1">
      <c r="A46" s="45" t="str">
        <f>IF($C$26="No","Third Parties - Optional based on QUALIFIER response.","Third Parties")</f>
        <v>Third Parties</v>
      </c>
      <c r="B46" s="14"/>
      <c r="C46" s="60" t="s">
        <v>79</v>
      </c>
      <c r="D46" s="60" t="s">
        <v>80</v>
      </c>
      <c r="E46" s="61" t="s">
        <v>81</v>
      </c>
      <c r="F46" s="7"/>
      <c r="G46" s="9"/>
      <c r="H46" s="9"/>
      <c r="I46" s="9"/>
      <c r="J46" s="9"/>
      <c r="K46" s="9"/>
      <c r="L46" s="9"/>
      <c r="M46" s="9"/>
      <c r="N46" s="9"/>
      <c r="O46" s="9"/>
      <c r="P46" s="9"/>
      <c r="Q46" s="9"/>
      <c r="R46" s="9"/>
      <c r="S46" s="9"/>
      <c r="T46" s="9"/>
      <c r="U46" s="9"/>
      <c r="V46" s="9"/>
      <c r="W46" s="9"/>
      <c r="X46" s="9"/>
      <c r="Y46" s="9"/>
      <c r="Z46" s="6"/>
    </row>
    <row r="47" ht="96.0" customHeight="1">
      <c r="A47" s="51" t="s">
        <v>139</v>
      </c>
      <c r="B47" s="62" t="s">
        <v>140</v>
      </c>
      <c r="C47" s="26" t="s">
        <v>141</v>
      </c>
      <c r="D47" s="14"/>
      <c r="E47" s="65" t="s">
        <v>142</v>
      </c>
      <c r="F47" s="7"/>
      <c r="G47" s="9"/>
      <c r="H47" s="9"/>
      <c r="I47" s="9"/>
      <c r="J47" s="9"/>
      <c r="K47" s="9"/>
      <c r="L47" s="9"/>
      <c r="M47" s="9"/>
      <c r="N47" s="9"/>
      <c r="O47" s="9"/>
      <c r="P47" s="9"/>
      <c r="Q47" s="9"/>
      <c r="R47" s="9"/>
      <c r="S47" s="9"/>
      <c r="T47" s="9"/>
      <c r="U47" s="9"/>
      <c r="V47" s="9"/>
      <c r="W47" s="9"/>
      <c r="X47" s="9"/>
      <c r="Y47" s="9"/>
      <c r="Z47" s="6"/>
    </row>
    <row r="48" ht="79.5" customHeight="1">
      <c r="A48" s="51" t="s">
        <v>143</v>
      </c>
      <c r="B48" s="62" t="s">
        <v>144</v>
      </c>
      <c r="C48" s="74" t="s">
        <v>145</v>
      </c>
      <c r="D48" s="14"/>
      <c r="E48" s="65" t="s">
        <v>146</v>
      </c>
      <c r="F48" s="7"/>
      <c r="G48" s="9"/>
      <c r="H48" s="9"/>
      <c r="I48" s="9"/>
      <c r="J48" s="9"/>
      <c r="K48" s="9"/>
      <c r="L48" s="9"/>
      <c r="M48" s="9"/>
      <c r="N48" s="9"/>
      <c r="O48" s="9"/>
      <c r="P48" s="9"/>
      <c r="Q48" s="9"/>
      <c r="R48" s="9"/>
      <c r="S48" s="9"/>
      <c r="T48" s="9"/>
      <c r="U48" s="9"/>
      <c r="V48" s="9"/>
      <c r="W48" s="9"/>
      <c r="X48" s="9"/>
      <c r="Y48" s="9"/>
      <c r="Z48" s="6"/>
    </row>
    <row r="49" ht="79.5" customHeight="1">
      <c r="A49" s="51" t="s">
        <v>147</v>
      </c>
      <c r="B49" s="62" t="s">
        <v>148</v>
      </c>
      <c r="C49" s="75" t="s">
        <v>149</v>
      </c>
      <c r="D49" s="14"/>
      <c r="E49" s="65" t="s">
        <v>150</v>
      </c>
      <c r="F49" s="7"/>
      <c r="G49" s="9"/>
      <c r="H49" s="9"/>
      <c r="I49" s="9"/>
      <c r="J49" s="9"/>
      <c r="K49" s="9"/>
      <c r="L49" s="9"/>
      <c r="M49" s="9"/>
      <c r="N49" s="9"/>
      <c r="O49" s="9"/>
      <c r="P49" s="9"/>
      <c r="Q49" s="9"/>
      <c r="R49" s="9"/>
      <c r="S49" s="9"/>
      <c r="T49" s="9"/>
      <c r="U49" s="9"/>
      <c r="V49" s="9"/>
      <c r="W49" s="9"/>
      <c r="X49" s="9"/>
      <c r="Y49" s="9"/>
      <c r="Z49" s="6"/>
    </row>
    <row r="50" ht="79.5" customHeight="1">
      <c r="A50" s="51" t="s">
        <v>151</v>
      </c>
      <c r="B50" s="62" t="s">
        <v>152</v>
      </c>
      <c r="C50" s="74" t="s">
        <v>153</v>
      </c>
      <c r="D50" s="14"/>
      <c r="E50" s="65" t="s">
        <v>154</v>
      </c>
      <c r="F50" s="7"/>
      <c r="G50" s="9"/>
      <c r="H50" s="9"/>
      <c r="I50" s="9"/>
      <c r="J50" s="9"/>
      <c r="K50" s="9"/>
      <c r="L50" s="9"/>
      <c r="M50" s="9"/>
      <c r="N50" s="9"/>
      <c r="O50" s="9"/>
      <c r="P50" s="9"/>
      <c r="Q50" s="9"/>
      <c r="R50" s="9"/>
      <c r="S50" s="9"/>
      <c r="T50" s="9"/>
      <c r="U50" s="9"/>
      <c r="V50" s="9"/>
      <c r="W50" s="9"/>
      <c r="X50" s="9"/>
      <c r="Y50" s="9"/>
      <c r="Z50" s="6"/>
    </row>
    <row r="51" ht="36.0" customHeight="1">
      <c r="A51" s="45" t="str">
        <f>IF($C$30="","Consulting",IF($C$30="Yes","Consulting - All questions after this section are OPTIONAL.","Consulting - Optional based on QUALIFIER response."))</f>
        <v>Consulting - Optional based on QUALIFIER response.</v>
      </c>
      <c r="B51" s="14"/>
      <c r="C51" s="60" t="s">
        <v>79</v>
      </c>
      <c r="D51" s="60" t="s">
        <v>80</v>
      </c>
      <c r="E51" s="61" t="s">
        <v>81</v>
      </c>
      <c r="F51" s="7"/>
      <c r="G51" s="9"/>
      <c r="H51" s="9"/>
      <c r="I51" s="9"/>
      <c r="J51" s="9"/>
      <c r="K51" s="9"/>
      <c r="L51" s="9"/>
      <c r="M51" s="9"/>
      <c r="N51" s="9"/>
      <c r="O51" s="9"/>
      <c r="P51" s="9"/>
      <c r="Q51" s="9"/>
      <c r="R51" s="9"/>
      <c r="S51" s="9"/>
      <c r="T51" s="9"/>
      <c r="U51" s="9"/>
      <c r="V51" s="9"/>
      <c r="W51" s="9"/>
      <c r="X51" s="9"/>
      <c r="Y51" s="9"/>
      <c r="Z51" s="6"/>
    </row>
    <row r="52" ht="48.0" customHeight="1">
      <c r="A52" s="51" t="s">
        <v>155</v>
      </c>
      <c r="B52" s="62" t="s">
        <v>156</v>
      </c>
      <c r="C52" s="63" t="s">
        <v>85</v>
      </c>
      <c r="D52" s="76"/>
      <c r="E52" s="65" t="str">
        <f>IF(C52="","",IF(C52="Yes","Describe how physical access will be managed.",""))</f>
        <v/>
      </c>
      <c r="F52" s="7"/>
      <c r="G52" s="9"/>
      <c r="H52" s="9"/>
      <c r="I52" s="9"/>
      <c r="J52" s="9"/>
      <c r="K52" s="9"/>
      <c r="L52" s="9"/>
      <c r="M52" s="9"/>
      <c r="N52" s="9"/>
      <c r="O52" s="9"/>
      <c r="P52" s="9"/>
      <c r="Q52" s="9"/>
      <c r="R52" s="9"/>
      <c r="S52" s="9"/>
      <c r="T52" s="9"/>
      <c r="U52" s="9"/>
      <c r="V52" s="9"/>
      <c r="W52" s="9"/>
      <c r="X52" s="9"/>
      <c r="Y52" s="9"/>
      <c r="Z52" s="6"/>
    </row>
    <row r="53" ht="63.0" customHeight="1">
      <c r="A53" s="51" t="s">
        <v>157</v>
      </c>
      <c r="B53" s="62" t="s">
        <v>158</v>
      </c>
      <c r="C53" s="63" t="s">
        <v>85</v>
      </c>
      <c r="D53" s="76"/>
      <c r="E53" s="65" t="str">
        <f>IF(C53="","",IF(C53="Yes","Describe how institution's resources will be protected during this engagement.",""))</f>
        <v/>
      </c>
      <c r="F53" s="7"/>
      <c r="G53" s="9"/>
      <c r="H53" s="9"/>
      <c r="I53" s="9"/>
      <c r="J53" s="9"/>
      <c r="K53" s="9"/>
      <c r="L53" s="9"/>
      <c r="M53" s="9"/>
      <c r="N53" s="9"/>
      <c r="O53" s="9"/>
      <c r="P53" s="9"/>
      <c r="Q53" s="9"/>
      <c r="R53" s="9"/>
      <c r="S53" s="9"/>
      <c r="T53" s="9"/>
      <c r="U53" s="9"/>
      <c r="V53" s="9"/>
      <c r="W53" s="9"/>
      <c r="X53" s="9"/>
      <c r="Y53" s="9"/>
      <c r="Z53" s="6"/>
    </row>
    <row r="54" ht="63.0" customHeight="1">
      <c r="A54" s="51" t="s">
        <v>159</v>
      </c>
      <c r="B54" s="62" t="s">
        <v>160</v>
      </c>
      <c r="C54" s="63" t="s">
        <v>85</v>
      </c>
      <c r="D54" s="76"/>
      <c r="E54" s="65" t="str">
        <f>IF(C54="","",IF(C54="Yes","Summarize the need for physical access and what steps/agreements will be implemented to ensure physical security.",""))</f>
        <v/>
      </c>
      <c r="F54" s="7"/>
      <c r="G54" s="9"/>
      <c r="H54" s="9"/>
      <c r="I54" s="9"/>
      <c r="J54" s="9"/>
      <c r="K54" s="9"/>
      <c r="L54" s="9"/>
      <c r="M54" s="9"/>
      <c r="N54" s="9"/>
      <c r="O54" s="9"/>
      <c r="P54" s="9"/>
      <c r="Q54" s="9"/>
      <c r="R54" s="9"/>
      <c r="S54" s="9"/>
      <c r="T54" s="9"/>
      <c r="U54" s="9"/>
      <c r="V54" s="9"/>
      <c r="W54" s="9"/>
      <c r="X54" s="9"/>
      <c r="Y54" s="9"/>
      <c r="Z54" s="6"/>
    </row>
    <row r="55" ht="48.0" customHeight="1">
      <c r="A55" s="51" t="s">
        <v>161</v>
      </c>
      <c r="B55" s="62" t="s">
        <v>162</v>
      </c>
      <c r="C55" s="63" t="s">
        <v>85</v>
      </c>
      <c r="D55" s="77"/>
      <c r="E55" s="65" t="str">
        <f>IF(C55="","",IF(C55="Yes","Summarize the need for an account within the Institution's domain.",""))</f>
        <v/>
      </c>
      <c r="F55" s="7"/>
      <c r="G55" s="9"/>
      <c r="H55" s="9"/>
      <c r="I55" s="9"/>
      <c r="J55" s="9"/>
      <c r="K55" s="9"/>
      <c r="L55" s="9"/>
      <c r="M55" s="9"/>
      <c r="N55" s="9"/>
      <c r="O55" s="9"/>
      <c r="P55" s="9"/>
      <c r="Q55" s="9"/>
      <c r="R55" s="9"/>
      <c r="S55" s="9"/>
      <c r="T55" s="9"/>
      <c r="U55" s="9"/>
      <c r="V55" s="9"/>
      <c r="W55" s="9"/>
      <c r="X55" s="9"/>
      <c r="Y55" s="9"/>
      <c r="Z55" s="6"/>
    </row>
    <row r="56" ht="48.0" customHeight="1">
      <c r="A56" s="51" t="s">
        <v>163</v>
      </c>
      <c r="B56" s="62" t="s">
        <v>164</v>
      </c>
      <c r="C56" s="63" t="s">
        <v>85</v>
      </c>
      <c r="D56" s="63" t="s">
        <v>165</v>
      </c>
      <c r="E56" s="65" t="str">
        <f>IF(C56="","",IF(C56="Yes","State the name of  the training received and the most currently training date for each training.",""))</f>
        <v/>
      </c>
      <c r="F56" s="7"/>
      <c r="G56" s="9"/>
      <c r="H56" s="9"/>
      <c r="I56" s="9"/>
      <c r="J56" s="9"/>
      <c r="K56" s="9"/>
      <c r="L56" s="9"/>
      <c r="M56" s="9"/>
      <c r="N56" s="9"/>
      <c r="O56" s="9"/>
      <c r="P56" s="9"/>
      <c r="Q56" s="9"/>
      <c r="R56" s="9"/>
      <c r="S56" s="9"/>
      <c r="T56" s="9"/>
      <c r="U56" s="9"/>
      <c r="V56" s="9"/>
      <c r="W56" s="9"/>
      <c r="X56" s="9"/>
      <c r="Y56" s="9"/>
      <c r="Z56" s="6"/>
    </row>
    <row r="57" ht="48.0" customHeight="1">
      <c r="A57" s="51" t="s">
        <v>166</v>
      </c>
      <c r="B57" s="62" t="s">
        <v>167</v>
      </c>
      <c r="C57" s="63" t="s">
        <v>85</v>
      </c>
      <c r="D57" s="77"/>
      <c r="E57" s="65" t="str">
        <f>IF(C57="","",IF(C57="Yes","State how long the data will remain in their possession and state how the data will be protected.",""))</f>
        <v/>
      </c>
      <c r="F57" s="7"/>
      <c r="G57" s="9"/>
      <c r="H57" s="9"/>
      <c r="I57" s="9"/>
      <c r="J57" s="9"/>
      <c r="K57" s="9"/>
      <c r="L57" s="9"/>
      <c r="M57" s="9"/>
      <c r="N57" s="9"/>
      <c r="O57" s="9"/>
      <c r="P57" s="9"/>
      <c r="Q57" s="9"/>
      <c r="R57" s="9"/>
      <c r="S57" s="9"/>
      <c r="T57" s="9"/>
      <c r="U57" s="9"/>
      <c r="V57" s="9"/>
      <c r="W57" s="9"/>
      <c r="X57" s="9"/>
      <c r="Y57" s="9"/>
      <c r="Z57" s="6"/>
    </row>
    <row r="58" ht="48.0" customHeight="1">
      <c r="A58" s="51" t="s">
        <v>168</v>
      </c>
      <c r="B58" s="51" t="s">
        <v>169</v>
      </c>
      <c r="C58" s="78" t="s">
        <v>90</v>
      </c>
      <c r="D58" s="73" t="s">
        <v>170</v>
      </c>
      <c r="E58" s="65" t="str">
        <f>IF(C58="","",IF(C58="Yes","Describe how encryption is implemented.","Describe the implemented compensating controls  to safeguard data."))</f>
        <v>Describe how encryption is implemented.</v>
      </c>
      <c r="F58" s="79"/>
      <c r="G58" s="80"/>
      <c r="H58" s="80"/>
      <c r="I58" s="80"/>
      <c r="J58" s="80"/>
      <c r="K58" s="80"/>
      <c r="L58" s="80"/>
      <c r="M58" s="80"/>
      <c r="N58" s="80"/>
      <c r="O58" s="80"/>
      <c r="P58" s="80"/>
      <c r="Q58" s="80"/>
      <c r="R58" s="80"/>
      <c r="S58" s="80"/>
      <c r="T58" s="80"/>
      <c r="U58" s="80"/>
      <c r="V58" s="80"/>
      <c r="W58" s="80"/>
      <c r="X58" s="80"/>
      <c r="Y58" s="80"/>
      <c r="Z58" s="6"/>
    </row>
    <row r="59" ht="48.0" customHeight="1">
      <c r="A59" s="51" t="s">
        <v>171</v>
      </c>
      <c r="B59" s="62" t="s">
        <v>172</v>
      </c>
      <c r="C59" s="63" t="s">
        <v>85</v>
      </c>
      <c r="D59" s="77"/>
      <c r="E59" s="65" t="str">
        <f>IF(C59="","",IF(C59="Yes","Describe the tools and technical controls implemented to secure remote access.",""))</f>
        <v/>
      </c>
      <c r="F59" s="7"/>
      <c r="G59" s="9"/>
      <c r="H59" s="9"/>
      <c r="I59" s="9"/>
      <c r="J59" s="9"/>
      <c r="K59" s="9"/>
      <c r="L59" s="9"/>
      <c r="M59" s="9"/>
      <c r="N59" s="9"/>
      <c r="O59" s="9"/>
      <c r="P59" s="9"/>
      <c r="Q59" s="9"/>
      <c r="R59" s="9"/>
      <c r="S59" s="9"/>
      <c r="T59" s="9"/>
      <c r="U59" s="9"/>
      <c r="V59" s="9"/>
      <c r="W59" s="9"/>
      <c r="X59" s="9"/>
      <c r="Y59" s="9"/>
      <c r="Z59" s="6"/>
    </row>
    <row r="60" ht="48.0" customHeight="1">
      <c r="A60" s="51" t="s">
        <v>173</v>
      </c>
      <c r="B60" s="51" t="s">
        <v>174</v>
      </c>
      <c r="C60" s="81" t="s">
        <v>90</v>
      </c>
      <c r="D60" s="82"/>
      <c r="E60" s="65" t="str">
        <f>IF(C60="","",IF(C60="Yes","State any limitations to this restriction.",IF(C60="No","State potential restriction capabilities.","No remote access necessary.")))</f>
        <v>State any limitations to this restriction.</v>
      </c>
      <c r="F60" s="79"/>
      <c r="G60" s="80"/>
      <c r="H60" s="80"/>
      <c r="I60" s="80"/>
      <c r="J60" s="80"/>
      <c r="K60" s="80"/>
      <c r="L60" s="80"/>
      <c r="M60" s="80"/>
      <c r="N60" s="80"/>
      <c r="O60" s="80"/>
      <c r="P60" s="80"/>
      <c r="Q60" s="80"/>
      <c r="R60" s="80"/>
      <c r="S60" s="80"/>
      <c r="T60" s="80"/>
      <c r="U60" s="80"/>
      <c r="V60" s="80"/>
      <c r="W60" s="80"/>
      <c r="X60" s="80"/>
      <c r="Y60" s="80"/>
      <c r="Z60" s="6"/>
    </row>
    <row r="61" ht="36.0" customHeight="1">
      <c r="A61" s="45" t="str">
        <f>IF($C$30="","Application/Service Security",IF($C$30="Yes","App/Service Security - Optional based on QUALIFIER response.","Application/Service Security"))</f>
        <v>Application/Service Security</v>
      </c>
      <c r="B61" s="14"/>
      <c r="C61" s="60" t="s">
        <v>79</v>
      </c>
      <c r="D61" s="60" t="s">
        <v>80</v>
      </c>
      <c r="E61" s="61" t="s">
        <v>81</v>
      </c>
      <c r="F61" s="7"/>
      <c r="G61" s="9"/>
      <c r="H61" s="9"/>
      <c r="I61" s="9"/>
      <c r="J61" s="9"/>
      <c r="K61" s="9"/>
      <c r="L61" s="9"/>
      <c r="M61" s="9"/>
      <c r="N61" s="9"/>
      <c r="O61" s="9"/>
      <c r="P61" s="9"/>
      <c r="Q61" s="9"/>
      <c r="R61" s="9"/>
      <c r="S61" s="9"/>
      <c r="T61" s="9"/>
      <c r="U61" s="9"/>
      <c r="V61" s="9"/>
      <c r="W61" s="9"/>
      <c r="X61" s="9"/>
      <c r="Y61" s="9"/>
      <c r="Z61" s="6"/>
    </row>
    <row r="62" ht="48.75" customHeight="1">
      <c r="A62" s="51" t="s">
        <v>175</v>
      </c>
      <c r="B62" s="83" t="s">
        <v>176</v>
      </c>
      <c r="C62" s="63" t="s">
        <v>90</v>
      </c>
      <c r="D62" s="84" t="s">
        <v>177</v>
      </c>
      <c r="E62" s="65" t="str">
        <f>IF(C62="","",IF(C62="Yes","Describe any infrastructure dependencies.","Describe any limitations that prevent virtualization."))</f>
        <v>Describe any infrastructure dependencies.</v>
      </c>
      <c r="F62" s="7"/>
      <c r="G62" s="9"/>
      <c r="H62" s="9"/>
      <c r="I62" s="9"/>
      <c r="J62" s="9"/>
      <c r="K62" s="9"/>
      <c r="L62" s="9"/>
      <c r="M62" s="9"/>
      <c r="N62" s="9"/>
      <c r="O62" s="9"/>
      <c r="P62" s="9"/>
      <c r="Q62" s="9"/>
      <c r="R62" s="9"/>
      <c r="S62" s="9"/>
      <c r="T62" s="9"/>
      <c r="U62" s="9"/>
      <c r="V62" s="9"/>
      <c r="W62" s="9"/>
      <c r="X62" s="9"/>
      <c r="Y62" s="9"/>
      <c r="Z62" s="6"/>
    </row>
    <row r="63" ht="48.0" customHeight="1">
      <c r="A63" s="51" t="s">
        <v>178</v>
      </c>
      <c r="B63" s="83" t="s">
        <v>179</v>
      </c>
      <c r="C63" s="63" t="s">
        <v>90</v>
      </c>
      <c r="D63" s="84" t="s">
        <v>180</v>
      </c>
      <c r="E63" s="65" t="str">
        <f>IF(C63="","",IF(C63="Yes","Describe the utilized technology.","Describe any plans to virtualize your environment hosting Institution data."))</f>
        <v>Describe the utilized technology.</v>
      </c>
      <c r="F63" s="7"/>
      <c r="G63" s="9"/>
      <c r="H63" s="9"/>
      <c r="I63" s="9"/>
      <c r="J63" s="9"/>
      <c r="K63" s="9"/>
      <c r="L63" s="9"/>
      <c r="M63" s="9"/>
      <c r="N63" s="9"/>
      <c r="O63" s="9"/>
      <c r="P63" s="9"/>
      <c r="Q63" s="9"/>
      <c r="R63" s="9"/>
      <c r="S63" s="9"/>
      <c r="T63" s="9"/>
      <c r="U63" s="9"/>
      <c r="V63" s="9"/>
      <c r="W63" s="9"/>
      <c r="X63" s="9"/>
      <c r="Y63" s="9"/>
      <c r="Z63" s="6"/>
    </row>
    <row r="64" ht="48.0" customHeight="1">
      <c r="A64" s="51" t="s">
        <v>181</v>
      </c>
      <c r="B64" s="83" t="s">
        <v>182</v>
      </c>
      <c r="C64" s="63" t="s">
        <v>90</v>
      </c>
      <c r="D64" s="73" t="s">
        <v>183</v>
      </c>
      <c r="E64" s="65" t="str">
        <f>IF(C64="","",IF(C64="Yes","If available, submit documentation and/or web resources.","Provide details that prevent this capability."))</f>
        <v>If available, submit documentation and/or web resources.</v>
      </c>
      <c r="F64" s="7"/>
      <c r="G64" s="9"/>
      <c r="H64" s="9"/>
      <c r="I64" s="9"/>
      <c r="J64" s="9"/>
      <c r="K64" s="9"/>
      <c r="L64" s="9"/>
      <c r="M64" s="9"/>
      <c r="N64" s="9"/>
      <c r="O64" s="9"/>
      <c r="P64" s="9"/>
      <c r="Q64" s="9"/>
      <c r="R64" s="9"/>
      <c r="S64" s="9"/>
      <c r="T64" s="9"/>
      <c r="U64" s="9"/>
      <c r="V64" s="9"/>
      <c r="W64" s="9"/>
      <c r="X64" s="9"/>
      <c r="Y64" s="9"/>
      <c r="Z64" s="6"/>
    </row>
    <row r="65" ht="79.5" customHeight="1">
      <c r="A65" s="51" t="s">
        <v>184</v>
      </c>
      <c r="B65" s="83" t="s">
        <v>185</v>
      </c>
      <c r="C65" s="63" t="s">
        <v>90</v>
      </c>
      <c r="D65" s="85" t="s">
        <v>186</v>
      </c>
      <c r="E65" s="65" t="str">
        <f>IF(C65="","",IF(C65="Yes","Provide a reference to the requested documents or provide them when submitting this fully-populated HECVAT.","State any plans to provide system and/or application architecture diagrams."))</f>
        <v>Provide a reference to the requested documents or provide them when submitting this fully-populated HECVAT.</v>
      </c>
      <c r="F65" s="7"/>
      <c r="G65" s="9"/>
      <c r="H65" s="9"/>
      <c r="I65" s="9"/>
      <c r="J65" s="9"/>
      <c r="K65" s="9"/>
      <c r="L65" s="9"/>
      <c r="M65" s="9"/>
      <c r="N65" s="9"/>
      <c r="O65" s="9"/>
      <c r="P65" s="9"/>
      <c r="Q65" s="9"/>
      <c r="R65" s="9"/>
      <c r="S65" s="9"/>
      <c r="T65" s="9"/>
      <c r="U65" s="9"/>
      <c r="V65" s="9"/>
      <c r="W65" s="9"/>
      <c r="X65" s="9"/>
      <c r="Y65" s="9"/>
      <c r="Z65" s="6"/>
    </row>
    <row r="66" ht="63.0" customHeight="1">
      <c r="A66" s="51" t="s">
        <v>187</v>
      </c>
      <c r="B66" s="83" t="s">
        <v>188</v>
      </c>
      <c r="C66" s="63" t="s">
        <v>90</v>
      </c>
      <c r="D66" s="85" t="s">
        <v>189</v>
      </c>
      <c r="E66" s="65" t="str">
        <f>IF(C66="","",IF(C66="Yes","Provide a reference to documentation of your data input validation and error messaging capabilities.","State plans to implement data input validation and error messaging across all components of your system."))</f>
        <v>Provide a reference to documentation of your data input validation and error messaging capabilities.</v>
      </c>
      <c r="F66" s="7"/>
      <c r="G66" s="9"/>
      <c r="H66" s="9"/>
      <c r="I66" s="9"/>
      <c r="J66" s="9"/>
      <c r="K66" s="9"/>
      <c r="L66" s="9"/>
      <c r="M66" s="9"/>
      <c r="N66" s="9"/>
      <c r="O66" s="9"/>
      <c r="P66" s="9"/>
      <c r="Q66" s="9"/>
      <c r="R66" s="9"/>
      <c r="S66" s="9"/>
      <c r="T66" s="9"/>
      <c r="U66" s="9"/>
      <c r="V66" s="9"/>
      <c r="W66" s="9"/>
      <c r="X66" s="9"/>
      <c r="Y66" s="9"/>
      <c r="Z66" s="6"/>
    </row>
    <row r="67" ht="48.0" customHeight="1">
      <c r="A67" s="51" t="s">
        <v>190</v>
      </c>
      <c r="B67" s="83" t="s">
        <v>191</v>
      </c>
      <c r="C67" s="63" t="s">
        <v>85</v>
      </c>
      <c r="D67" s="86"/>
      <c r="E67" s="65" t="str">
        <f>IF(C67="","",IF(C67="Yes","Describe your single-tenant strategy.",""))</f>
        <v/>
      </c>
      <c r="F67" s="7"/>
      <c r="G67" s="9"/>
      <c r="H67" s="9"/>
      <c r="I67" s="9"/>
      <c r="J67" s="9"/>
      <c r="K67" s="9"/>
      <c r="L67" s="9"/>
      <c r="M67" s="9"/>
      <c r="N67" s="9"/>
      <c r="O67" s="9"/>
      <c r="P67" s="9"/>
      <c r="Q67" s="9"/>
      <c r="R67" s="9"/>
      <c r="S67" s="9"/>
      <c r="T67" s="9"/>
      <c r="U67" s="9"/>
      <c r="V67" s="9"/>
      <c r="W67" s="9"/>
      <c r="X67" s="9"/>
      <c r="Y67" s="9"/>
      <c r="Z67" s="6"/>
    </row>
    <row r="68" ht="79.5" customHeight="1">
      <c r="A68" s="51" t="s">
        <v>192</v>
      </c>
      <c r="B68" s="87" t="s">
        <v>193</v>
      </c>
      <c r="C68" s="88" t="s">
        <v>194</v>
      </c>
      <c r="D68" s="14"/>
      <c r="E68" s="89" t="s">
        <v>195</v>
      </c>
      <c r="F68" s="79"/>
      <c r="G68" s="80"/>
      <c r="H68" s="80"/>
      <c r="I68" s="80"/>
      <c r="J68" s="80"/>
      <c r="K68" s="80"/>
      <c r="L68" s="80"/>
      <c r="M68" s="80"/>
      <c r="N68" s="80"/>
      <c r="O68" s="80"/>
      <c r="P68" s="80"/>
      <c r="Q68" s="80"/>
      <c r="R68" s="80"/>
      <c r="S68" s="80"/>
      <c r="T68" s="80"/>
      <c r="U68" s="80"/>
      <c r="V68" s="80"/>
      <c r="W68" s="80"/>
      <c r="X68" s="80"/>
      <c r="Y68" s="80"/>
      <c r="Z68" s="6"/>
    </row>
    <row r="69" ht="72.0" customHeight="1">
      <c r="A69" s="51" t="s">
        <v>196</v>
      </c>
      <c r="B69" s="62" t="s">
        <v>197</v>
      </c>
      <c r="C69" s="73" t="s">
        <v>85</v>
      </c>
      <c r="D69" s="77"/>
      <c r="E69" s="65" t="str">
        <f>IF(C69="","",IF(C69="Yes","Describe the conditions of this breach and how was the investigation and response was managed in conjunction with the customer.",""))</f>
        <v/>
      </c>
      <c r="F69" s="7"/>
      <c r="G69" s="9"/>
      <c r="H69" s="9"/>
      <c r="I69" s="9"/>
      <c r="J69" s="9"/>
      <c r="K69" s="9"/>
      <c r="L69" s="9"/>
      <c r="M69" s="9"/>
      <c r="N69" s="9"/>
      <c r="O69" s="9"/>
      <c r="P69" s="9"/>
      <c r="Q69" s="9"/>
      <c r="R69" s="9"/>
      <c r="S69" s="9"/>
      <c r="T69" s="9"/>
      <c r="U69" s="9"/>
      <c r="V69" s="9"/>
      <c r="W69" s="9"/>
      <c r="X69" s="9"/>
      <c r="Y69" s="9"/>
      <c r="Z69" s="6"/>
    </row>
    <row r="70" ht="63.75" customHeight="1">
      <c r="A70" s="51" t="s">
        <v>198</v>
      </c>
      <c r="B70" s="83" t="s">
        <v>199</v>
      </c>
      <c r="C70" s="90" t="s">
        <v>200</v>
      </c>
      <c r="D70" s="14"/>
      <c r="E70" s="89" t="s">
        <v>201</v>
      </c>
      <c r="F70" s="7"/>
      <c r="G70" s="9"/>
      <c r="H70" s="9"/>
      <c r="I70" s="9"/>
      <c r="J70" s="9"/>
      <c r="K70" s="9"/>
      <c r="L70" s="9"/>
      <c r="M70" s="9"/>
      <c r="N70" s="9"/>
      <c r="O70" s="9"/>
      <c r="P70" s="9"/>
      <c r="Q70" s="9"/>
      <c r="R70" s="9"/>
      <c r="S70" s="9"/>
      <c r="T70" s="9"/>
      <c r="U70" s="9"/>
      <c r="V70" s="9"/>
      <c r="W70" s="9"/>
      <c r="X70" s="9"/>
      <c r="Y70" s="9"/>
      <c r="Z70" s="6"/>
    </row>
    <row r="71" ht="63.75" customHeight="1">
      <c r="A71" s="51" t="s">
        <v>202</v>
      </c>
      <c r="B71" s="83" t="s">
        <v>203</v>
      </c>
      <c r="C71" s="91" t="s">
        <v>204</v>
      </c>
      <c r="D71" s="14"/>
      <c r="E71" s="65" t="s">
        <v>205</v>
      </c>
      <c r="F71" s="7"/>
      <c r="G71" s="9"/>
      <c r="H71" s="9"/>
      <c r="I71" s="9"/>
      <c r="J71" s="9"/>
      <c r="K71" s="9"/>
      <c r="L71" s="9"/>
      <c r="M71" s="9"/>
      <c r="N71" s="9"/>
      <c r="O71" s="9"/>
      <c r="P71" s="9"/>
      <c r="Q71" s="9"/>
      <c r="R71" s="9"/>
      <c r="S71" s="9"/>
      <c r="T71" s="9"/>
      <c r="U71" s="9"/>
      <c r="V71" s="9"/>
      <c r="W71" s="9"/>
      <c r="X71" s="9"/>
      <c r="Y71" s="9"/>
      <c r="Z71" s="6"/>
    </row>
    <row r="72" ht="48.0" customHeight="1">
      <c r="A72" s="51" t="s">
        <v>206</v>
      </c>
      <c r="B72" s="83" t="s">
        <v>207</v>
      </c>
      <c r="C72" s="63" t="s">
        <v>90</v>
      </c>
      <c r="D72" s="63" t="s">
        <v>208</v>
      </c>
      <c r="E72" s="65" t="str">
        <f>IF(C72="","",IF(C72="Yes","Provide a brief description.","Provide a detailed description of the database and front-end system relationship."))</f>
        <v>Provide a brief description.</v>
      </c>
      <c r="F72" s="7"/>
      <c r="G72" s="9"/>
      <c r="H72" s="9"/>
      <c r="I72" s="9"/>
      <c r="J72" s="9"/>
      <c r="K72" s="9"/>
      <c r="L72" s="9"/>
      <c r="M72" s="9"/>
      <c r="N72" s="9"/>
      <c r="O72" s="9"/>
      <c r="P72" s="9"/>
      <c r="Q72" s="9"/>
      <c r="R72" s="9"/>
      <c r="S72" s="9"/>
      <c r="T72" s="9"/>
      <c r="U72" s="9"/>
      <c r="V72" s="9"/>
      <c r="W72" s="9"/>
      <c r="X72" s="9"/>
      <c r="Y72" s="9"/>
      <c r="Z72" s="6"/>
    </row>
    <row r="73" ht="64.5" customHeight="1">
      <c r="A73" s="51" t="s">
        <v>209</v>
      </c>
      <c r="B73" s="83" t="s">
        <v>210</v>
      </c>
      <c r="C73" s="74" t="s">
        <v>211</v>
      </c>
      <c r="D73" s="14"/>
      <c r="E73" s="65" t="s">
        <v>212</v>
      </c>
      <c r="F73" s="7"/>
      <c r="G73" s="9"/>
      <c r="H73" s="9"/>
      <c r="I73" s="9"/>
      <c r="J73" s="9"/>
      <c r="K73" s="9"/>
      <c r="L73" s="9"/>
      <c r="M73" s="9"/>
      <c r="N73" s="9"/>
      <c r="O73" s="9"/>
      <c r="P73" s="9"/>
      <c r="Q73" s="9"/>
      <c r="R73" s="9"/>
      <c r="S73" s="9"/>
      <c r="T73" s="9"/>
      <c r="U73" s="9"/>
      <c r="V73" s="9"/>
      <c r="W73" s="9"/>
      <c r="X73" s="9"/>
      <c r="Y73" s="9"/>
      <c r="Z73" s="6"/>
    </row>
    <row r="74" ht="64.5" customHeight="1">
      <c r="A74" s="51" t="s">
        <v>213</v>
      </c>
      <c r="B74" s="83" t="s">
        <v>214</v>
      </c>
      <c r="C74" s="63" t="s">
        <v>85</v>
      </c>
      <c r="D74" s="77"/>
      <c r="E74" s="65" t="str">
        <f>IF(C74="","",IF(C74="Yes","Describe all OS and web-browser combonations that are not currently supported.",""))</f>
        <v/>
      </c>
      <c r="F74" s="7"/>
      <c r="G74" s="9"/>
      <c r="H74" s="9"/>
      <c r="I74" s="9"/>
      <c r="J74" s="9"/>
      <c r="K74" s="9"/>
      <c r="L74" s="9"/>
      <c r="M74" s="9"/>
      <c r="N74" s="9"/>
      <c r="O74" s="9"/>
      <c r="P74" s="9"/>
      <c r="Q74" s="9"/>
      <c r="R74" s="9"/>
      <c r="S74" s="9"/>
      <c r="T74" s="9"/>
      <c r="U74" s="9"/>
      <c r="V74" s="9"/>
      <c r="W74" s="9"/>
      <c r="X74" s="9"/>
      <c r="Y74" s="9"/>
      <c r="Z74" s="6"/>
    </row>
    <row r="75" ht="63.0" customHeight="1">
      <c r="A75" s="51" t="s">
        <v>215</v>
      </c>
      <c r="B75" s="83" t="s">
        <v>216</v>
      </c>
      <c r="C75" s="73" t="s">
        <v>90</v>
      </c>
      <c r="D75" s="92" t="s">
        <v>217</v>
      </c>
      <c r="E75" s="65" t="str">
        <f>IF(C75="","",IF(C75="Yes","Provide a detailed description of system capabilities and how location data is secured.",""))</f>
        <v>Provide a detailed description of system capabilities and how location data is secured.</v>
      </c>
      <c r="F75" s="7"/>
      <c r="G75" s="9"/>
      <c r="H75" s="9"/>
      <c r="I75" s="9"/>
      <c r="J75" s="9"/>
      <c r="K75" s="9"/>
      <c r="L75" s="9"/>
      <c r="M75" s="9"/>
      <c r="N75" s="9"/>
      <c r="O75" s="9"/>
      <c r="P75" s="9"/>
      <c r="Q75" s="9"/>
      <c r="R75" s="9"/>
      <c r="S75" s="9"/>
      <c r="T75" s="9"/>
      <c r="U75" s="9"/>
      <c r="V75" s="9"/>
      <c r="W75" s="9"/>
      <c r="X75" s="9"/>
      <c r="Y75" s="9"/>
      <c r="Z75" s="6"/>
    </row>
    <row r="76" ht="84.0" customHeight="1">
      <c r="A76" s="51" t="s">
        <v>218</v>
      </c>
      <c r="B76" s="83" t="s">
        <v>219</v>
      </c>
      <c r="C76" s="91" t="s">
        <v>220</v>
      </c>
      <c r="D76" s="14"/>
      <c r="E76" s="65" t="s">
        <v>221</v>
      </c>
      <c r="F76" s="7"/>
      <c r="G76" s="9"/>
      <c r="H76" s="9"/>
      <c r="I76" s="9"/>
      <c r="J76" s="9"/>
      <c r="K76" s="9"/>
      <c r="L76" s="9"/>
      <c r="M76" s="9"/>
      <c r="N76" s="9"/>
      <c r="O76" s="9"/>
      <c r="P76" s="9"/>
      <c r="Q76" s="9"/>
      <c r="R76" s="9"/>
      <c r="S76" s="9"/>
      <c r="T76" s="9"/>
      <c r="U76" s="9"/>
      <c r="V76" s="9"/>
      <c r="W76" s="9"/>
      <c r="X76" s="9"/>
      <c r="Y76" s="9"/>
      <c r="Z76" s="6"/>
    </row>
    <row r="77" ht="64.5" customHeight="1">
      <c r="A77" s="51" t="s">
        <v>222</v>
      </c>
      <c r="B77" s="83" t="s">
        <v>223</v>
      </c>
      <c r="C77" s="91" t="s">
        <v>224</v>
      </c>
      <c r="D77" s="14"/>
      <c r="E77" s="65" t="s">
        <v>225</v>
      </c>
      <c r="F77" s="7"/>
      <c r="G77" s="9"/>
      <c r="H77" s="9"/>
      <c r="I77" s="9"/>
      <c r="J77" s="9"/>
      <c r="K77" s="9"/>
      <c r="L77" s="9"/>
      <c r="M77" s="9"/>
      <c r="N77" s="9"/>
      <c r="O77" s="9"/>
      <c r="P77" s="9"/>
      <c r="Q77" s="9"/>
      <c r="R77" s="9"/>
      <c r="S77" s="9"/>
      <c r="T77" s="9"/>
      <c r="U77" s="9"/>
      <c r="V77" s="9"/>
      <c r="W77" s="9"/>
      <c r="X77" s="9"/>
      <c r="Y77" s="9"/>
      <c r="Z77" s="6"/>
    </row>
    <row r="78" ht="64.5" customHeight="1">
      <c r="A78" s="51" t="s">
        <v>226</v>
      </c>
      <c r="B78" s="83" t="s">
        <v>227</v>
      </c>
      <c r="C78" s="91" t="s">
        <v>228</v>
      </c>
      <c r="D78" s="14"/>
      <c r="E78" s="65" t="s">
        <v>229</v>
      </c>
      <c r="F78" s="7"/>
      <c r="G78" s="9"/>
      <c r="H78" s="9"/>
      <c r="I78" s="9"/>
      <c r="J78" s="9"/>
      <c r="K78" s="9"/>
      <c r="L78" s="9"/>
      <c r="M78" s="9"/>
      <c r="N78" s="9"/>
      <c r="O78" s="9"/>
      <c r="P78" s="9"/>
      <c r="Q78" s="9"/>
      <c r="R78" s="9"/>
      <c r="S78" s="9"/>
      <c r="T78" s="9"/>
      <c r="U78" s="9"/>
      <c r="V78" s="9"/>
      <c r="W78" s="9"/>
      <c r="X78" s="9"/>
      <c r="Y78" s="9"/>
      <c r="Z78" s="6"/>
    </row>
    <row r="79" ht="36.0" customHeight="1">
      <c r="A79" s="45" t="str">
        <f>IF($C$30="","Authentication, Authorization, and Accounting",IF($C$30="Yes","AAA - Optional based on QUALIFIER response.","Authentication, Authorization, and Accounting"))</f>
        <v>Authentication, Authorization, and Accounting</v>
      </c>
      <c r="B79" s="14"/>
      <c r="C79" s="60" t="s">
        <v>79</v>
      </c>
      <c r="D79" s="60" t="s">
        <v>80</v>
      </c>
      <c r="E79" s="61" t="s">
        <v>81</v>
      </c>
      <c r="F79" s="7"/>
      <c r="G79" s="9"/>
      <c r="H79" s="9"/>
      <c r="I79" s="9"/>
      <c r="J79" s="9"/>
      <c r="K79" s="9"/>
      <c r="L79" s="9"/>
      <c r="M79" s="9"/>
      <c r="N79" s="9"/>
      <c r="O79" s="9"/>
      <c r="P79" s="9"/>
      <c r="Q79" s="9"/>
      <c r="R79" s="9"/>
      <c r="S79" s="9"/>
      <c r="T79" s="9"/>
      <c r="U79" s="9"/>
      <c r="V79" s="9"/>
      <c r="W79" s="9"/>
      <c r="X79" s="9"/>
      <c r="Y79" s="9"/>
      <c r="Z79" s="6"/>
    </row>
    <row r="80" ht="48.0" customHeight="1">
      <c r="A80" s="51" t="s">
        <v>230</v>
      </c>
      <c r="B80" s="62" t="s">
        <v>231</v>
      </c>
      <c r="C80" s="63" t="s">
        <v>90</v>
      </c>
      <c r="D80" s="73" t="s">
        <v>232</v>
      </c>
      <c r="E80" s="65" t="str">
        <f>IF(C80="","",IF(C80="Yes","Describe how aging requirements are implemented in the product.","Describe plans to support password/passphrase aging requirements."))</f>
        <v>Describe how aging requirements are implemented in the product.</v>
      </c>
      <c r="F80" s="7"/>
      <c r="G80" s="9"/>
      <c r="H80" s="9"/>
      <c r="I80" s="9"/>
      <c r="J80" s="9"/>
      <c r="K80" s="9"/>
      <c r="L80" s="9"/>
      <c r="M80" s="9"/>
      <c r="N80" s="9"/>
      <c r="O80" s="9"/>
      <c r="P80" s="9"/>
      <c r="Q80" s="9"/>
      <c r="R80" s="9"/>
      <c r="S80" s="9"/>
      <c r="T80" s="9"/>
      <c r="U80" s="9"/>
      <c r="V80" s="9"/>
      <c r="W80" s="9"/>
      <c r="X80" s="9"/>
      <c r="Y80" s="9"/>
      <c r="Z80" s="6"/>
    </row>
    <row r="81" ht="48.0" customHeight="1">
      <c r="A81" s="51" t="s">
        <v>233</v>
      </c>
      <c r="B81" s="62" t="s">
        <v>234</v>
      </c>
      <c r="C81" s="63" t="s">
        <v>85</v>
      </c>
      <c r="D81" s="63" t="s">
        <v>235</v>
      </c>
      <c r="E81" s="65" t="str">
        <f>IF(C81="","",IF(C81="Yes","Describe how password/passphrase complexity requirements are implemented in the product.","Describe plans to support password/passphrase complexity requirements."))</f>
        <v>Describe plans to support password/passphrase complexity requirements.</v>
      </c>
      <c r="F81" s="7"/>
      <c r="G81" s="9"/>
      <c r="H81" s="9"/>
      <c r="I81" s="9"/>
      <c r="J81" s="9"/>
      <c r="K81" s="9"/>
      <c r="L81" s="9"/>
      <c r="M81" s="9"/>
      <c r="N81" s="9"/>
      <c r="O81" s="9"/>
      <c r="P81" s="9"/>
      <c r="Q81" s="9"/>
      <c r="R81" s="9"/>
      <c r="S81" s="9"/>
      <c r="T81" s="9"/>
      <c r="U81" s="9"/>
      <c r="V81" s="9"/>
      <c r="W81" s="9"/>
      <c r="X81" s="9"/>
      <c r="Y81" s="9"/>
      <c r="Z81" s="6"/>
    </row>
    <row r="82" ht="48.0" customHeight="1">
      <c r="A82" s="51" t="s">
        <v>236</v>
      </c>
      <c r="B82" s="62" t="s">
        <v>237</v>
      </c>
      <c r="C82" s="63" t="s">
        <v>90</v>
      </c>
      <c r="D82" s="66"/>
      <c r="E82" s="65" t="str">
        <f>IF(C82="","",IF(C82="Yes","Describe these limitations and/or restrictions and state what lengths and complexities are supported.",""))</f>
        <v>Describe these limitations and/or restrictions and state what lengths and complexities are supported.</v>
      </c>
      <c r="F82" s="7"/>
      <c r="G82" s="9"/>
      <c r="H82" s="9"/>
      <c r="I82" s="9"/>
      <c r="J82" s="9"/>
      <c r="K82" s="9"/>
      <c r="L82" s="9"/>
      <c r="M82" s="9"/>
      <c r="N82" s="9"/>
      <c r="O82" s="9"/>
      <c r="P82" s="9"/>
      <c r="Q82" s="9"/>
      <c r="R82" s="9"/>
      <c r="S82" s="9"/>
      <c r="T82" s="9"/>
      <c r="U82" s="9"/>
      <c r="V82" s="9"/>
      <c r="W82" s="9"/>
      <c r="X82" s="9"/>
      <c r="Y82" s="9"/>
      <c r="Z82" s="6"/>
    </row>
    <row r="83" ht="64.5" customHeight="1">
      <c r="A83" s="51" t="s">
        <v>238</v>
      </c>
      <c r="B83" s="62" t="s">
        <v>239</v>
      </c>
      <c r="C83" s="63" t="s">
        <v>90</v>
      </c>
      <c r="D83" s="63" t="s">
        <v>240</v>
      </c>
      <c r="E83" s="65" t="str">
        <f>IF(C83="","",IF(C83="Yes","Describe your documented password/passphrase reset procedures that are currently implemented in the system and/or customer support.","Describe your plans to document system password/passphrase reset procedures."))</f>
        <v>Describe your documented password/passphrase reset procedures that are currently implemented in the system and/or customer support.</v>
      </c>
      <c r="F83" s="7"/>
      <c r="G83" s="9"/>
      <c r="H83" s="9"/>
      <c r="I83" s="9"/>
      <c r="J83" s="9"/>
      <c r="K83" s="9"/>
      <c r="L83" s="9"/>
      <c r="M83" s="9"/>
      <c r="N83" s="9"/>
      <c r="O83" s="9"/>
      <c r="P83" s="9"/>
      <c r="Q83" s="9"/>
      <c r="R83" s="9"/>
      <c r="S83" s="9"/>
      <c r="T83" s="9"/>
      <c r="U83" s="9"/>
      <c r="V83" s="9"/>
      <c r="W83" s="9"/>
      <c r="X83" s="9"/>
      <c r="Y83" s="9"/>
      <c r="Z83" s="6"/>
    </row>
    <row r="84" ht="46.5" customHeight="1">
      <c r="A84" s="51" t="s">
        <v>241</v>
      </c>
      <c r="B84" s="62" t="s">
        <v>242</v>
      </c>
      <c r="C84" s="63" t="s">
        <v>90</v>
      </c>
      <c r="D84" s="93" t="s">
        <v>243</v>
      </c>
      <c r="E84" s="65" t="str">
        <f>IF(C84="","",IF(C84="Yes","Describe or provide a reference to the supported types of authentication.","Describe plans to support authentication in your web-based interface."))</f>
        <v>Describe or provide a reference to the supported types of authentication.</v>
      </c>
      <c r="F84" s="7"/>
      <c r="G84" s="9"/>
      <c r="H84" s="9"/>
      <c r="I84" s="9"/>
      <c r="J84" s="9"/>
      <c r="K84" s="9"/>
      <c r="L84" s="9"/>
      <c r="M84" s="9"/>
      <c r="N84" s="9"/>
      <c r="O84" s="9"/>
      <c r="P84" s="9"/>
      <c r="Q84" s="9"/>
      <c r="R84" s="9"/>
      <c r="S84" s="9"/>
      <c r="T84" s="9"/>
      <c r="U84" s="9"/>
      <c r="V84" s="9"/>
      <c r="W84" s="9"/>
      <c r="X84" s="9"/>
      <c r="Y84" s="9"/>
      <c r="Z84" s="6"/>
    </row>
    <row r="85" ht="48.0" customHeight="1">
      <c r="A85" s="51" t="s">
        <v>244</v>
      </c>
      <c r="B85" s="62" t="s">
        <v>245</v>
      </c>
      <c r="C85" s="63" t="s">
        <v>85</v>
      </c>
      <c r="D85" s="77"/>
      <c r="E85" s="65" t="str">
        <f>IF(C85="","",IF(C85="Yes","Provide a detailed description of passwords/passphrases hard-coded into your systems or products.",""))</f>
        <v/>
      </c>
      <c r="F85" s="7"/>
      <c r="G85" s="9"/>
      <c r="H85" s="9"/>
      <c r="I85" s="9"/>
      <c r="J85" s="9"/>
      <c r="K85" s="9"/>
      <c r="L85" s="9"/>
      <c r="M85" s="9"/>
      <c r="N85" s="9"/>
      <c r="O85" s="9"/>
      <c r="P85" s="9"/>
      <c r="Q85" s="9"/>
      <c r="R85" s="9"/>
      <c r="S85" s="9"/>
      <c r="T85" s="9"/>
      <c r="U85" s="9"/>
      <c r="V85" s="9"/>
      <c r="W85" s="9"/>
      <c r="X85" s="9"/>
      <c r="Y85" s="9"/>
      <c r="Z85" s="6"/>
    </row>
    <row r="86" ht="48.0" customHeight="1">
      <c r="A86" s="51" t="s">
        <v>246</v>
      </c>
      <c r="B86" s="62" t="s">
        <v>247</v>
      </c>
      <c r="C86" s="63" t="s">
        <v>85</v>
      </c>
      <c r="D86" s="77"/>
      <c r="E86" s="65" t="str">
        <f>IF(C86="","",IF(C86="Yes","Provide a detailed description stating why user account passwords/passphrases are visible by administrators.",""))</f>
        <v/>
      </c>
      <c r="F86" s="7"/>
      <c r="G86" s="9"/>
      <c r="H86" s="9"/>
      <c r="I86" s="9"/>
      <c r="J86" s="9"/>
      <c r="K86" s="9"/>
      <c r="L86" s="9"/>
      <c r="M86" s="9"/>
      <c r="N86" s="9"/>
      <c r="O86" s="9"/>
      <c r="P86" s="9"/>
      <c r="Q86" s="9"/>
      <c r="R86" s="9"/>
      <c r="S86" s="9"/>
      <c r="T86" s="9"/>
      <c r="U86" s="9"/>
      <c r="V86" s="9"/>
      <c r="W86" s="9"/>
      <c r="X86" s="9"/>
      <c r="Y86" s="9"/>
      <c r="Z86" s="6"/>
    </row>
    <row r="87" ht="48.0" customHeight="1">
      <c r="A87" s="51" t="s">
        <v>248</v>
      </c>
      <c r="B87" s="62" t="s">
        <v>249</v>
      </c>
      <c r="C87" s="63" t="s">
        <v>90</v>
      </c>
      <c r="D87" s="94" t="s">
        <v>250</v>
      </c>
      <c r="E87" s="65" t="str">
        <f>IF(C87="","",IF(C87="Yes","Describe or provide a reference to the algorithm/strategy that is used to encrypt stored passwords/passphrases.","Provide a detailed description stating why user account passwords/passphrases are not encrypted in storage."))</f>
        <v>Describe or provide a reference to the algorithm/strategy that is used to encrypt stored passwords/passphrases.</v>
      </c>
      <c r="F87" s="7"/>
      <c r="G87" s="9"/>
      <c r="H87" s="9"/>
      <c r="I87" s="9"/>
      <c r="J87" s="9"/>
      <c r="K87" s="9"/>
      <c r="L87" s="9"/>
      <c r="M87" s="9"/>
      <c r="N87" s="9"/>
      <c r="O87" s="9"/>
      <c r="P87" s="9"/>
      <c r="Q87" s="9"/>
      <c r="R87" s="9"/>
      <c r="S87" s="9"/>
      <c r="T87" s="9"/>
      <c r="U87" s="9"/>
      <c r="V87" s="9"/>
      <c r="W87" s="9"/>
      <c r="X87" s="9"/>
      <c r="Y87" s="9"/>
      <c r="Z87" s="6"/>
    </row>
    <row r="88" ht="48.0" customHeight="1">
      <c r="A88" s="51" t="s">
        <v>251</v>
      </c>
      <c r="B88" s="62" t="s">
        <v>252</v>
      </c>
      <c r="C88" s="63" t="s">
        <v>90</v>
      </c>
      <c r="D88" s="63" t="s">
        <v>253</v>
      </c>
      <c r="E88" s="65" t="str">
        <f>IF(C88="","",IF(C88="Yes","List all supported multi-factor authentication methods, technologies, and/or products and provide a brief summary of each.","Describe any plans to support multi-factor authentication in your application."))</f>
        <v>List all supported multi-factor authentication methods, technologies, and/or products and provide a brief summary of each.</v>
      </c>
      <c r="F88" s="7"/>
      <c r="G88" s="9"/>
      <c r="H88" s="9"/>
      <c r="I88" s="9"/>
      <c r="J88" s="9"/>
      <c r="K88" s="9"/>
      <c r="L88" s="9"/>
      <c r="M88" s="9"/>
      <c r="N88" s="9"/>
      <c r="O88" s="9"/>
      <c r="P88" s="9"/>
      <c r="Q88" s="9"/>
      <c r="R88" s="9"/>
      <c r="S88" s="9"/>
      <c r="T88" s="9"/>
      <c r="U88" s="9"/>
      <c r="V88" s="9"/>
      <c r="W88" s="9"/>
      <c r="X88" s="9"/>
      <c r="Y88" s="9"/>
      <c r="Z88" s="6"/>
    </row>
    <row r="89" ht="52.5" customHeight="1">
      <c r="A89" s="51" t="s">
        <v>254</v>
      </c>
      <c r="B89" s="62" t="s">
        <v>255</v>
      </c>
      <c r="C89" s="73" t="s">
        <v>90</v>
      </c>
      <c r="D89" s="73" t="s">
        <v>256</v>
      </c>
      <c r="E89" s="65" t="str">
        <f>IF(C89="","",IF(C89="Yes","Provide a brief description of supported authentication and authorization systems.","Describe any plans to support integration with other authentication and authorization systems."))</f>
        <v>Provide a brief description of supported authentication and authorization systems.</v>
      </c>
      <c r="F89" s="7"/>
      <c r="G89" s="9"/>
      <c r="H89" s="9"/>
      <c r="I89" s="9"/>
      <c r="J89" s="9"/>
      <c r="K89" s="9"/>
      <c r="L89" s="9"/>
      <c r="M89" s="9"/>
      <c r="N89" s="9"/>
      <c r="O89" s="9"/>
      <c r="P89" s="9"/>
      <c r="Q89" s="9"/>
      <c r="R89" s="9"/>
      <c r="S89" s="9"/>
      <c r="T89" s="9"/>
      <c r="U89" s="9"/>
      <c r="V89" s="9"/>
      <c r="W89" s="9"/>
      <c r="X89" s="9"/>
      <c r="Y89" s="9"/>
      <c r="Z89" s="6"/>
    </row>
    <row r="90" ht="46.5" customHeight="1">
      <c r="A90" s="51" t="s">
        <v>257</v>
      </c>
      <c r="B90" s="62" t="s">
        <v>258</v>
      </c>
      <c r="C90" s="73" t="s">
        <v>90</v>
      </c>
      <c r="D90" s="73" t="s">
        <v>259</v>
      </c>
      <c r="E90" s="65" t="str">
        <f>IF(C90="","",IF(C90="Yes","Summarize the utilized technology and provide references to how it is implemented in the product/system.",""))</f>
        <v>Summarize the utilized technology and provide references to how it is implemented in the product/system.</v>
      </c>
      <c r="F90" s="7"/>
      <c r="G90" s="9"/>
      <c r="H90" s="9"/>
      <c r="I90" s="9"/>
      <c r="J90" s="9"/>
      <c r="K90" s="9"/>
      <c r="L90" s="9"/>
      <c r="M90" s="9"/>
      <c r="N90" s="9"/>
      <c r="O90" s="9"/>
      <c r="P90" s="9"/>
      <c r="Q90" s="9"/>
      <c r="R90" s="9"/>
      <c r="S90" s="9"/>
      <c r="T90" s="9"/>
      <c r="U90" s="9"/>
      <c r="V90" s="9"/>
      <c r="W90" s="9"/>
      <c r="X90" s="9"/>
      <c r="Y90" s="9"/>
      <c r="Z90" s="6"/>
    </row>
    <row r="91" ht="54.0" customHeight="1">
      <c r="A91" s="51" t="s">
        <v>260</v>
      </c>
      <c r="B91" s="62" t="s">
        <v>261</v>
      </c>
      <c r="C91" s="73" t="s">
        <v>90</v>
      </c>
      <c r="D91" s="73" t="s">
        <v>259</v>
      </c>
      <c r="E91" s="65" t="str">
        <f>IF(C91="","",IF(C91="Yes","Describe all authentication services supported by the system.","Describe any plans to support external authentication services in place of local authentication."))</f>
        <v>Describe all authentication services supported by the system.</v>
      </c>
      <c r="F91" s="7"/>
      <c r="G91" s="9"/>
      <c r="H91" s="9"/>
      <c r="I91" s="9"/>
      <c r="J91" s="9"/>
      <c r="K91" s="9"/>
      <c r="L91" s="9"/>
      <c r="M91" s="9"/>
      <c r="N91" s="9"/>
      <c r="O91" s="9"/>
      <c r="P91" s="9"/>
      <c r="Q91" s="9"/>
      <c r="R91" s="9"/>
      <c r="S91" s="9"/>
      <c r="T91" s="9"/>
      <c r="U91" s="9"/>
      <c r="V91" s="9"/>
      <c r="W91" s="9"/>
      <c r="X91" s="9"/>
      <c r="Y91" s="9"/>
      <c r="Z91" s="6"/>
    </row>
    <row r="92" ht="54.0" customHeight="1">
      <c r="A92" s="51" t="s">
        <v>262</v>
      </c>
      <c r="B92" s="62" t="s">
        <v>263</v>
      </c>
      <c r="C92" s="73" t="s">
        <v>85</v>
      </c>
      <c r="D92" s="73" t="s">
        <v>264</v>
      </c>
      <c r="E92" s="65" t="str">
        <f>IF(C92="","",IF(C92="Yes","Provide a detailed description of your mixed authentication mode practices.","Describe any plans to use mixed authentication modes."))</f>
        <v>Describe any plans to use mixed authentication modes.</v>
      </c>
      <c r="F92" s="7"/>
      <c r="G92" s="9"/>
      <c r="H92" s="9"/>
      <c r="I92" s="9"/>
      <c r="J92" s="9"/>
      <c r="K92" s="9"/>
      <c r="L92" s="9"/>
      <c r="M92" s="9"/>
      <c r="N92" s="9"/>
      <c r="O92" s="9"/>
      <c r="P92" s="9"/>
      <c r="Q92" s="9"/>
      <c r="R92" s="9"/>
      <c r="S92" s="9"/>
      <c r="T92" s="9"/>
      <c r="U92" s="9"/>
      <c r="V92" s="9"/>
      <c r="W92" s="9"/>
      <c r="X92" s="9"/>
      <c r="Y92" s="9"/>
      <c r="Z92" s="6"/>
    </row>
    <row r="93" ht="46.5" customHeight="1">
      <c r="A93" s="51" t="s">
        <v>265</v>
      </c>
      <c r="B93" s="62" t="s">
        <v>266</v>
      </c>
      <c r="C93" s="73" t="s">
        <v>90</v>
      </c>
      <c r="D93" s="73" t="s">
        <v>259</v>
      </c>
      <c r="E93" s="65" t="str">
        <f>IF(C93="","",IF(C93="Yes","Summarize the utilized technology and provide references to how it is implemented in the product/system.",""))</f>
        <v>Summarize the utilized technology and provide references to how it is implemented in the product/system.</v>
      </c>
      <c r="F93" s="7"/>
      <c r="G93" s="9"/>
      <c r="H93" s="9"/>
      <c r="I93" s="9"/>
      <c r="J93" s="9"/>
      <c r="K93" s="9"/>
      <c r="L93" s="9"/>
      <c r="M93" s="9"/>
      <c r="N93" s="9"/>
      <c r="O93" s="9"/>
      <c r="P93" s="9"/>
      <c r="Q93" s="9"/>
      <c r="R93" s="9"/>
      <c r="S93" s="9"/>
      <c r="T93" s="9"/>
      <c r="U93" s="9"/>
      <c r="V93" s="9"/>
      <c r="W93" s="9"/>
      <c r="X93" s="9"/>
      <c r="Y93" s="9"/>
      <c r="Z93" s="6"/>
    </row>
    <row r="94" ht="48.0" customHeight="1">
      <c r="A94" s="51" t="s">
        <v>267</v>
      </c>
      <c r="B94" s="62" t="s">
        <v>268</v>
      </c>
      <c r="C94" s="63" t="s">
        <v>90</v>
      </c>
      <c r="D94" s="73" t="s">
        <v>269</v>
      </c>
      <c r="E94" s="65" t="str">
        <f>IF(C94="","",IF(C94="Yes","Ensure that all elements of AAAI-15 are evaluated for your response. Provide a description of logging capabilities.","Describe any plans to enable audit logs for these data elements."))</f>
        <v>Ensure that all elements of AAAI-15 are evaluated for your response. Provide a description of logging capabilities.</v>
      </c>
      <c r="F94" s="7"/>
      <c r="G94" s="9"/>
      <c r="H94" s="9"/>
      <c r="I94" s="9"/>
      <c r="J94" s="9"/>
      <c r="K94" s="9"/>
      <c r="L94" s="9"/>
      <c r="M94" s="9"/>
      <c r="N94" s="9"/>
      <c r="O94" s="9"/>
      <c r="P94" s="9"/>
      <c r="Q94" s="9"/>
      <c r="R94" s="9"/>
      <c r="S94" s="9"/>
      <c r="T94" s="9"/>
      <c r="U94" s="9"/>
      <c r="V94" s="9"/>
      <c r="W94" s="9"/>
      <c r="X94" s="9"/>
      <c r="Y94" s="9"/>
      <c r="Z94" s="6"/>
    </row>
    <row r="95" ht="96.0" customHeight="1">
      <c r="A95" s="51" t="s">
        <v>270</v>
      </c>
      <c r="B95" s="62" t="s">
        <v>271</v>
      </c>
      <c r="C95" s="74" t="s">
        <v>272</v>
      </c>
      <c r="D95" s="14"/>
      <c r="E95" s="65" t="s">
        <v>273</v>
      </c>
      <c r="F95" s="7"/>
      <c r="G95" s="9"/>
      <c r="H95" s="9"/>
      <c r="I95" s="9"/>
      <c r="J95" s="9"/>
      <c r="K95" s="9"/>
      <c r="L95" s="9"/>
      <c r="M95" s="9"/>
      <c r="N95" s="9"/>
      <c r="O95" s="9"/>
      <c r="P95" s="9"/>
      <c r="Q95" s="9"/>
      <c r="R95" s="9"/>
      <c r="S95" s="9"/>
      <c r="T95" s="9"/>
      <c r="U95" s="9"/>
      <c r="V95" s="9"/>
      <c r="W95" s="9"/>
      <c r="X95" s="9"/>
      <c r="Y95" s="9"/>
      <c r="Z95" s="6"/>
    </row>
    <row r="96" ht="84.0" customHeight="1">
      <c r="A96" s="51" t="s">
        <v>274</v>
      </c>
      <c r="B96" s="62" t="s">
        <v>275</v>
      </c>
      <c r="C96" s="74" t="s">
        <v>276</v>
      </c>
      <c r="D96" s="14"/>
      <c r="E96" s="65" t="s">
        <v>277</v>
      </c>
      <c r="F96" s="7"/>
      <c r="G96" s="9"/>
      <c r="H96" s="9"/>
      <c r="I96" s="9"/>
      <c r="J96" s="9"/>
      <c r="K96" s="9"/>
      <c r="L96" s="9"/>
      <c r="M96" s="9"/>
      <c r="N96" s="9"/>
      <c r="O96" s="9"/>
      <c r="P96" s="9"/>
      <c r="Q96" s="9"/>
      <c r="R96" s="9"/>
      <c r="S96" s="9"/>
      <c r="T96" s="9"/>
      <c r="U96" s="9"/>
      <c r="V96" s="9"/>
      <c r="W96" s="9"/>
      <c r="X96" s="9"/>
      <c r="Y96" s="9"/>
      <c r="Z96" s="6"/>
    </row>
    <row r="97" ht="36.0" customHeight="1">
      <c r="A97" s="45" t="str">
        <f>IF(OR($C$27="No",$C$30="Yes"),"BCP - Respond to as many questions below as possible.","Business Continuity Plan")</f>
        <v>Business Continuity Plan</v>
      </c>
      <c r="B97" s="14"/>
      <c r="C97" s="60" t="s">
        <v>79</v>
      </c>
      <c r="D97" s="60" t="s">
        <v>80</v>
      </c>
      <c r="E97" s="61" t="s">
        <v>81</v>
      </c>
      <c r="F97" s="7"/>
      <c r="G97" s="9"/>
      <c r="H97" s="9"/>
      <c r="I97" s="9"/>
      <c r="J97" s="9"/>
      <c r="K97" s="9"/>
      <c r="L97" s="9"/>
      <c r="M97" s="9"/>
      <c r="N97" s="9"/>
      <c r="O97" s="9"/>
      <c r="P97" s="9"/>
      <c r="Q97" s="9"/>
      <c r="R97" s="9"/>
      <c r="S97" s="9"/>
      <c r="T97" s="9"/>
      <c r="U97" s="9"/>
      <c r="V97" s="9"/>
      <c r="W97" s="9"/>
      <c r="X97" s="9"/>
      <c r="Y97" s="9"/>
      <c r="Z97" s="6"/>
    </row>
    <row r="98" ht="48.0" customHeight="1">
      <c r="A98" s="51" t="s">
        <v>278</v>
      </c>
      <c r="B98" s="62" t="s">
        <v>279</v>
      </c>
      <c r="C98" s="74" t="s">
        <v>280</v>
      </c>
      <c r="D98" s="14"/>
      <c r="E98" s="65" t="s">
        <v>281</v>
      </c>
      <c r="F98" s="7"/>
      <c r="G98" s="9"/>
      <c r="H98" s="9"/>
      <c r="I98" s="9"/>
      <c r="J98" s="9"/>
      <c r="K98" s="9"/>
      <c r="L98" s="9"/>
      <c r="M98" s="9"/>
      <c r="N98" s="9"/>
      <c r="O98" s="9"/>
      <c r="P98" s="9"/>
      <c r="Q98" s="9"/>
      <c r="R98" s="9"/>
      <c r="S98" s="9"/>
      <c r="T98" s="9"/>
      <c r="U98" s="9"/>
      <c r="V98" s="9"/>
      <c r="W98" s="9"/>
      <c r="X98" s="9"/>
      <c r="Y98" s="9"/>
      <c r="Z98" s="6"/>
    </row>
    <row r="99" ht="46.5" customHeight="1">
      <c r="A99" s="51" t="s">
        <v>282</v>
      </c>
      <c r="B99" s="62" t="s">
        <v>283</v>
      </c>
      <c r="C99" s="63" t="s">
        <v>90</v>
      </c>
      <c r="D99" s="32" t="s">
        <v>284</v>
      </c>
      <c r="E99" s="65" t="str">
        <f>IF(C99="","",IF(C99="Yes","Provide a reference to your BCP and supporting documentation or submit it along with this fully-populated HECVAT.","Briefly summarize your response."))</f>
        <v>Provide a reference to your BCP and supporting documentation or submit it along with this fully-populated HECVAT.</v>
      </c>
      <c r="F99" s="7"/>
      <c r="G99" s="9"/>
      <c r="H99" s="9"/>
      <c r="I99" s="9"/>
      <c r="J99" s="9"/>
      <c r="K99" s="9"/>
      <c r="L99" s="9"/>
      <c r="M99" s="9"/>
      <c r="N99" s="9"/>
      <c r="O99" s="9"/>
      <c r="P99" s="9"/>
      <c r="Q99" s="9"/>
      <c r="R99" s="9"/>
      <c r="S99" s="9"/>
      <c r="T99" s="9"/>
      <c r="U99" s="9"/>
      <c r="V99" s="9"/>
      <c r="W99" s="9"/>
      <c r="X99" s="9"/>
      <c r="Y99" s="9"/>
      <c r="Z99" s="6"/>
    </row>
    <row r="100" ht="46.5" customHeight="1">
      <c r="A100" s="51" t="s">
        <v>285</v>
      </c>
      <c r="B100" s="62" t="s">
        <v>286</v>
      </c>
      <c r="C100" s="63" t="s">
        <v>90</v>
      </c>
      <c r="D100" s="77"/>
      <c r="E100" s="65" t="str">
        <f>IF(C100="","",IF(C100="Yes","Provide additional details, as needed.","Describe any plans to define a BCP owner responsible for maintenance and review."))</f>
        <v>Provide additional details, as needed.</v>
      </c>
      <c r="F100" s="7"/>
      <c r="G100" s="9"/>
      <c r="H100" s="9"/>
      <c r="I100" s="9"/>
      <c r="J100" s="9"/>
      <c r="K100" s="9"/>
      <c r="L100" s="9"/>
      <c r="M100" s="9"/>
      <c r="N100" s="9"/>
      <c r="O100" s="9"/>
      <c r="P100" s="9"/>
      <c r="Q100" s="9"/>
      <c r="R100" s="9"/>
      <c r="S100" s="9"/>
      <c r="T100" s="9"/>
      <c r="U100" s="9"/>
      <c r="V100" s="9"/>
      <c r="W100" s="9"/>
      <c r="X100" s="9"/>
      <c r="Y100" s="9"/>
      <c r="Z100" s="6"/>
    </row>
    <row r="101" ht="46.5" customHeight="1">
      <c r="A101" s="51" t="s">
        <v>287</v>
      </c>
      <c r="B101" s="62" t="s">
        <v>288</v>
      </c>
      <c r="C101" s="63" t="s">
        <v>90</v>
      </c>
      <c r="D101" s="77"/>
      <c r="E101" s="65" t="str">
        <f>IF(C101="","",IF(C101="Yes","Summarize your defined problem/issue escalation plan contained in your BCP.","Describe any plans to define a problem/issue escalation plan in your BCP."))</f>
        <v>Summarize your defined problem/issue escalation plan contained in your BCP.</v>
      </c>
      <c r="F101" s="7"/>
      <c r="G101" s="9"/>
      <c r="H101" s="9"/>
      <c r="I101" s="9"/>
      <c r="J101" s="9"/>
      <c r="K101" s="9"/>
      <c r="L101" s="9"/>
      <c r="M101" s="9"/>
      <c r="N101" s="9"/>
      <c r="O101" s="9"/>
      <c r="P101" s="9"/>
      <c r="Q101" s="9"/>
      <c r="R101" s="9"/>
      <c r="S101" s="9"/>
      <c r="T101" s="9"/>
      <c r="U101" s="9"/>
      <c r="V101" s="9"/>
      <c r="W101" s="9"/>
      <c r="X101" s="9"/>
      <c r="Y101" s="9"/>
      <c r="Z101" s="6"/>
    </row>
    <row r="102" ht="46.5" customHeight="1">
      <c r="A102" s="51" t="s">
        <v>289</v>
      </c>
      <c r="B102" s="62" t="s">
        <v>290</v>
      </c>
      <c r="C102" s="63" t="s">
        <v>90</v>
      </c>
      <c r="D102" s="93" t="s">
        <v>291</v>
      </c>
      <c r="E102" s="65" t="str">
        <f>IF(C102="","",IF(C102="Yes","Summarize your documented communication plan contained in your BCP.","Describe any plans to document a communication plan in your BCP."))</f>
        <v>Summarize your documented communication plan contained in your BCP.</v>
      </c>
      <c r="F102" s="7"/>
      <c r="G102" s="9"/>
      <c r="H102" s="9"/>
      <c r="I102" s="9"/>
      <c r="J102" s="9"/>
      <c r="K102" s="9"/>
      <c r="L102" s="9"/>
      <c r="M102" s="9"/>
      <c r="N102" s="9"/>
      <c r="O102" s="9"/>
      <c r="P102" s="9"/>
      <c r="Q102" s="9"/>
      <c r="R102" s="9"/>
      <c r="S102" s="9"/>
      <c r="T102" s="9"/>
      <c r="U102" s="9"/>
      <c r="V102" s="9"/>
      <c r="W102" s="9"/>
      <c r="X102" s="9"/>
      <c r="Y102" s="9"/>
      <c r="Z102" s="6"/>
    </row>
    <row r="103" ht="48.0" customHeight="1">
      <c r="A103" s="51" t="s">
        <v>292</v>
      </c>
      <c r="B103" s="62" t="s">
        <v>293</v>
      </c>
      <c r="C103" s="63" t="s">
        <v>90</v>
      </c>
      <c r="D103" s="77"/>
      <c r="E103" s="65" t="str">
        <f>IF(C103="","",IF(C103="Yes","Describe your BCP component review strategy.","Describe any plans to annually review and update (as needed) your BCP."))</f>
        <v>Describe your BCP component review strategy.</v>
      </c>
      <c r="F103" s="7"/>
      <c r="G103" s="9"/>
      <c r="H103" s="9"/>
      <c r="I103" s="9"/>
      <c r="J103" s="9"/>
      <c r="K103" s="9"/>
      <c r="L103" s="9"/>
      <c r="M103" s="9"/>
      <c r="N103" s="9"/>
      <c r="O103" s="9"/>
      <c r="P103" s="9"/>
      <c r="Q103" s="9"/>
      <c r="R103" s="9"/>
      <c r="S103" s="9"/>
      <c r="T103" s="9"/>
      <c r="U103" s="9"/>
      <c r="V103" s="9"/>
      <c r="W103" s="9"/>
      <c r="X103" s="9"/>
      <c r="Y103" s="9"/>
      <c r="Z103" s="6"/>
    </row>
    <row r="104" ht="48.0" customHeight="1">
      <c r="A104" s="51" t="s">
        <v>294</v>
      </c>
      <c r="B104" s="62" t="s">
        <v>295</v>
      </c>
      <c r="C104" s="63" t="s">
        <v>90</v>
      </c>
      <c r="D104" s="77"/>
      <c r="E104" s="65" t="str">
        <f>IF(C104="","",IF(C104="Yes","State the date of your last BCP test.","Describe your strategy to implement annual BCP testing."))</f>
        <v>State the date of your last BCP test.</v>
      </c>
      <c r="F104" s="7"/>
      <c r="G104" s="9"/>
      <c r="H104" s="9"/>
      <c r="I104" s="9"/>
      <c r="J104" s="9"/>
      <c r="K104" s="9"/>
      <c r="L104" s="9"/>
      <c r="M104" s="9"/>
      <c r="N104" s="9"/>
      <c r="O104" s="9"/>
      <c r="P104" s="9"/>
      <c r="Q104" s="9"/>
      <c r="R104" s="9"/>
      <c r="S104" s="9"/>
      <c r="T104" s="9"/>
      <c r="U104" s="9"/>
      <c r="V104" s="9"/>
      <c r="W104" s="9"/>
      <c r="X104" s="9"/>
      <c r="Y104" s="9"/>
      <c r="Z104" s="6"/>
    </row>
    <row r="105" ht="46.5" customHeight="1">
      <c r="A105" s="51" t="s">
        <v>296</v>
      </c>
      <c r="B105" s="62" t="s">
        <v>297</v>
      </c>
      <c r="C105" s="63" t="s">
        <v>90</v>
      </c>
      <c r="D105" s="77"/>
      <c r="E105" s="65" t="str">
        <f>IF(C105="","",IF(C105="Yes","Describe your training and awareness activities.","State your plans to implement training and awareness activities focused on roles and responsibilities during a crisis."))</f>
        <v>Describe your training and awareness activities.</v>
      </c>
      <c r="F105" s="7"/>
      <c r="G105" s="9"/>
      <c r="H105" s="9"/>
      <c r="I105" s="9"/>
      <c r="J105" s="9"/>
      <c r="K105" s="9"/>
      <c r="L105" s="9"/>
      <c r="M105" s="9"/>
      <c r="N105" s="9"/>
      <c r="O105" s="9"/>
      <c r="P105" s="9"/>
      <c r="Q105" s="9"/>
      <c r="R105" s="9"/>
      <c r="S105" s="9"/>
      <c r="T105" s="9"/>
      <c r="U105" s="9"/>
      <c r="V105" s="9"/>
      <c r="W105" s="9"/>
      <c r="X105" s="9"/>
      <c r="Y105" s="9"/>
      <c r="Z105" s="6"/>
    </row>
    <row r="106" ht="46.5" customHeight="1">
      <c r="A106" s="51" t="s">
        <v>298</v>
      </c>
      <c r="B106" s="62" t="s">
        <v>299</v>
      </c>
      <c r="C106" s="63" t="s">
        <v>90</v>
      </c>
      <c r="D106" s="77"/>
      <c r="E106" s="65" t="str">
        <f>IF(C106="","",IF(C106="Yes","Summarize these crisis management roles and responsibilities.","State your plans to define and document crisis management roles and responsibilities."))</f>
        <v>Summarize these crisis management roles and responsibilities.</v>
      </c>
      <c r="F106" s="7"/>
      <c r="G106" s="9"/>
      <c r="H106" s="9"/>
      <c r="I106" s="9"/>
      <c r="J106" s="9"/>
      <c r="K106" s="9"/>
      <c r="L106" s="9"/>
      <c r="M106" s="9"/>
      <c r="N106" s="9"/>
      <c r="O106" s="9"/>
      <c r="P106" s="9"/>
      <c r="Q106" s="9"/>
      <c r="R106" s="9"/>
      <c r="S106" s="9"/>
      <c r="T106" s="9"/>
      <c r="U106" s="9"/>
      <c r="V106" s="9"/>
      <c r="W106" s="9"/>
      <c r="X106" s="9"/>
      <c r="Y106" s="9"/>
      <c r="Z106" s="6"/>
    </row>
    <row r="107" ht="46.5" customHeight="1">
      <c r="A107" s="51" t="s">
        <v>300</v>
      </c>
      <c r="B107" s="62" t="s">
        <v>301</v>
      </c>
      <c r="C107" s="63" t="s">
        <v>90</v>
      </c>
      <c r="D107" s="63" t="s">
        <v>302</v>
      </c>
      <c r="E107" s="65" t="str">
        <f>IF(C107="","",IF(C107="Yes","Provide the distance (in miles) between the primary and secondary locations.","Describe your plans to coordinate an alternative business site or contract with a business recovery provider?"))</f>
        <v>Provide the distance (in miles) between the primary and secondary locations.</v>
      </c>
      <c r="F107" s="7"/>
      <c r="G107" s="9"/>
      <c r="H107" s="9"/>
      <c r="I107" s="9"/>
      <c r="J107" s="9"/>
      <c r="K107" s="9"/>
      <c r="L107" s="9"/>
      <c r="M107" s="9"/>
      <c r="N107" s="9"/>
      <c r="O107" s="9"/>
      <c r="P107" s="9"/>
      <c r="Q107" s="9"/>
      <c r="R107" s="9"/>
      <c r="S107" s="9"/>
      <c r="T107" s="9"/>
      <c r="U107" s="9"/>
      <c r="V107" s="9"/>
      <c r="W107" s="9"/>
      <c r="X107" s="9"/>
      <c r="Y107" s="9"/>
      <c r="Z107" s="6"/>
    </row>
    <row r="108" ht="46.5" customHeight="1">
      <c r="A108" s="51" t="s">
        <v>303</v>
      </c>
      <c r="B108" s="62" t="s">
        <v>304</v>
      </c>
      <c r="C108" s="63" t="s">
        <v>90</v>
      </c>
      <c r="D108" s="77"/>
      <c r="E108" s="65" t="str">
        <f>IF(C108="","",IF(C108="Yes","State the date of your last alternate site relocation test.","Describe your strategy to implement annual alternate site relocation testing."))</f>
        <v>State the date of your last alternate site relocation test.</v>
      </c>
      <c r="F108" s="7"/>
      <c r="G108" s="9"/>
      <c r="H108" s="9"/>
      <c r="I108" s="9"/>
      <c r="J108" s="9"/>
      <c r="K108" s="9"/>
      <c r="L108" s="9"/>
      <c r="M108" s="9"/>
      <c r="N108" s="9"/>
      <c r="O108" s="9"/>
      <c r="P108" s="9"/>
      <c r="Q108" s="9"/>
      <c r="R108" s="9"/>
      <c r="S108" s="9"/>
      <c r="T108" s="9"/>
      <c r="U108" s="9"/>
      <c r="V108" s="9"/>
      <c r="W108" s="9"/>
      <c r="X108" s="9"/>
      <c r="Y108" s="9"/>
      <c r="Z108" s="6"/>
    </row>
    <row r="109" ht="63.75" customHeight="1">
      <c r="A109" s="51" t="s">
        <v>305</v>
      </c>
      <c r="B109" s="62" t="s">
        <v>306</v>
      </c>
      <c r="C109" s="63" t="s">
        <v>90</v>
      </c>
      <c r="D109" s="77"/>
      <c r="E109" s="65" t="str">
        <f>IF(C109="","",IF(C109="Yes","Provide a brief summary to support your selection.","Summarize this product's restoration priority in your BCP."))</f>
        <v>Provide a brief summary to support your selection.</v>
      </c>
      <c r="F109" s="7"/>
      <c r="G109" s="9"/>
      <c r="H109" s="9"/>
      <c r="I109" s="9"/>
      <c r="J109" s="9"/>
      <c r="K109" s="9"/>
      <c r="L109" s="9"/>
      <c r="M109" s="9"/>
      <c r="N109" s="9"/>
      <c r="O109" s="9"/>
      <c r="P109" s="9"/>
      <c r="Q109" s="9"/>
      <c r="R109" s="9"/>
      <c r="S109" s="9"/>
      <c r="T109" s="9"/>
      <c r="U109" s="9"/>
      <c r="V109" s="9"/>
      <c r="W109" s="9"/>
      <c r="X109" s="9"/>
      <c r="Y109" s="9"/>
      <c r="Z109" s="6"/>
    </row>
    <row r="110" ht="36.0" customHeight="1">
      <c r="A110" s="45" t="str">
        <f>IF($C$30="","Change Management",IF($C$30="Yes","Change Management - Optional based on QUALIFIER response.","Change Management"))</f>
        <v>Change Management</v>
      </c>
      <c r="B110" s="14"/>
      <c r="C110" s="60" t="s">
        <v>79</v>
      </c>
      <c r="D110" s="60" t="s">
        <v>80</v>
      </c>
      <c r="E110" s="61" t="s">
        <v>81</v>
      </c>
      <c r="F110" s="7"/>
      <c r="G110" s="9"/>
      <c r="H110" s="9"/>
      <c r="I110" s="9"/>
      <c r="J110" s="9"/>
      <c r="K110" s="9"/>
      <c r="L110" s="9"/>
      <c r="M110" s="9"/>
      <c r="N110" s="9"/>
      <c r="O110" s="9"/>
      <c r="P110" s="9"/>
      <c r="Q110" s="9"/>
      <c r="R110" s="9"/>
      <c r="S110" s="9"/>
      <c r="T110" s="9"/>
      <c r="U110" s="9"/>
      <c r="V110" s="9"/>
      <c r="W110" s="9"/>
      <c r="X110" s="9"/>
      <c r="Y110" s="9"/>
      <c r="Z110" s="6"/>
    </row>
    <row r="111" ht="48.0" customHeight="1">
      <c r="A111" s="51" t="s">
        <v>307</v>
      </c>
      <c r="B111" s="62" t="s">
        <v>308</v>
      </c>
      <c r="C111" s="63" t="s">
        <v>90</v>
      </c>
      <c r="D111" s="95" t="s">
        <v>309</v>
      </c>
      <c r="E111" s="65" t="str">
        <f>IF(C111="","",IF(C111="Yes","Summarize your current change management process.","Describe current plans to implement a change management process."))</f>
        <v>Summarize your current change management process.</v>
      </c>
      <c r="F111" s="7"/>
      <c r="G111" s="9"/>
      <c r="H111" s="9"/>
      <c r="I111" s="9"/>
      <c r="J111" s="9"/>
      <c r="K111" s="9"/>
      <c r="L111" s="9"/>
      <c r="M111" s="9"/>
      <c r="N111" s="9"/>
      <c r="O111" s="9"/>
      <c r="P111" s="9"/>
      <c r="Q111" s="9"/>
      <c r="R111" s="9"/>
      <c r="S111" s="9"/>
      <c r="T111" s="9"/>
      <c r="U111" s="9"/>
      <c r="V111" s="9"/>
      <c r="W111" s="9"/>
      <c r="X111" s="9"/>
      <c r="Y111" s="9"/>
      <c r="Z111" s="6"/>
    </row>
    <row r="112" ht="79.5" customHeight="1">
      <c r="A112" s="51" t="s">
        <v>310</v>
      </c>
      <c r="B112" s="62" t="s">
        <v>311</v>
      </c>
      <c r="C112" s="96" t="s">
        <v>312</v>
      </c>
      <c r="D112" s="14"/>
      <c r="E112" s="65" t="s">
        <v>313</v>
      </c>
      <c r="F112" s="7"/>
      <c r="G112" s="9"/>
      <c r="H112" s="9"/>
      <c r="I112" s="9"/>
      <c r="J112" s="9"/>
      <c r="K112" s="9"/>
      <c r="L112" s="9"/>
      <c r="M112" s="9"/>
      <c r="N112" s="9"/>
      <c r="O112" s="9"/>
      <c r="P112" s="9"/>
      <c r="Q112" s="9"/>
      <c r="R112" s="9"/>
      <c r="S112" s="9"/>
      <c r="T112" s="9"/>
      <c r="U112" s="9"/>
      <c r="V112" s="9"/>
      <c r="W112" s="9"/>
      <c r="X112" s="9"/>
      <c r="Y112" s="9"/>
      <c r="Z112" s="6"/>
    </row>
    <row r="113" ht="63.75" customHeight="1">
      <c r="A113" s="51" t="s">
        <v>314</v>
      </c>
      <c r="B113" s="62" t="s">
        <v>315</v>
      </c>
      <c r="C113" s="63" t="s">
        <v>90</v>
      </c>
      <c r="D113" s="32" t="s">
        <v>316</v>
      </c>
      <c r="E113" s="65" t="str">
        <f>IF(C113="","",IF(C113="Yes","State how and when the Institution will be notified of major changes to your environment.","Describe plans to establish a notification mechanism for major environmental changes."))</f>
        <v>State how and when the Institution will be notified of major changes to your environment.</v>
      </c>
      <c r="F113" s="7"/>
      <c r="G113" s="9"/>
      <c r="H113" s="9"/>
      <c r="I113" s="9"/>
      <c r="J113" s="9"/>
      <c r="K113" s="9"/>
      <c r="L113" s="9"/>
      <c r="M113" s="9"/>
      <c r="N113" s="9"/>
      <c r="O113" s="9"/>
      <c r="P113" s="9"/>
      <c r="Q113" s="9"/>
      <c r="R113" s="9"/>
      <c r="S113" s="9"/>
      <c r="T113" s="9"/>
      <c r="U113" s="9"/>
      <c r="V113" s="9"/>
      <c r="W113" s="9"/>
      <c r="X113" s="9"/>
      <c r="Y113" s="9"/>
      <c r="Z113" s="6"/>
    </row>
    <row r="114" ht="63.75" customHeight="1">
      <c r="A114" s="51" t="s">
        <v>317</v>
      </c>
      <c r="B114" s="62" t="s">
        <v>318</v>
      </c>
      <c r="C114" s="63" t="s">
        <v>90</v>
      </c>
      <c r="D114" s="93" t="s">
        <v>319</v>
      </c>
      <c r="E114" s="65" t="str">
        <f>IF(C114="","",IF(C114="Yes","Provide reference the the process/procedure to manage releases.","Summarize why clients do not have alternative release option."))</f>
        <v>Provide reference the the process/procedure to manage releases.</v>
      </c>
      <c r="F114" s="7"/>
      <c r="G114" s="9"/>
      <c r="H114" s="9"/>
      <c r="I114" s="9"/>
      <c r="J114" s="9"/>
      <c r="K114" s="9"/>
      <c r="L114" s="9"/>
      <c r="M114" s="9"/>
      <c r="N114" s="9"/>
      <c r="O114" s="9"/>
      <c r="P114" s="9"/>
      <c r="Q114" s="9"/>
      <c r="R114" s="9"/>
      <c r="S114" s="9"/>
      <c r="T114" s="9"/>
      <c r="U114" s="9"/>
      <c r="V114" s="9"/>
      <c r="W114" s="9"/>
      <c r="X114" s="9"/>
      <c r="Y114" s="9"/>
      <c r="Z114" s="6"/>
    </row>
    <row r="115" ht="63.75" customHeight="1">
      <c r="A115" s="51" t="s">
        <v>320</v>
      </c>
      <c r="B115" s="62" t="s">
        <v>321</v>
      </c>
      <c r="C115" s="26" t="s">
        <v>322</v>
      </c>
      <c r="D115" s="14"/>
      <c r="E115" s="65" t="s">
        <v>323</v>
      </c>
      <c r="F115" s="7"/>
      <c r="G115" s="9"/>
      <c r="H115" s="9"/>
      <c r="I115" s="9"/>
      <c r="J115" s="9"/>
      <c r="K115" s="9"/>
      <c r="L115" s="9"/>
      <c r="M115" s="9"/>
      <c r="N115" s="9"/>
      <c r="O115" s="9"/>
      <c r="P115" s="9"/>
      <c r="Q115" s="9"/>
      <c r="R115" s="9"/>
      <c r="S115" s="9"/>
      <c r="T115" s="9"/>
      <c r="U115" s="9"/>
      <c r="V115" s="9"/>
      <c r="W115" s="9"/>
      <c r="X115" s="9"/>
      <c r="Y115" s="9"/>
      <c r="Z115" s="6"/>
    </row>
    <row r="116" ht="63.75" customHeight="1">
      <c r="A116" s="51" t="s">
        <v>324</v>
      </c>
      <c r="B116" s="62" t="s">
        <v>325</v>
      </c>
      <c r="C116" s="74" t="s">
        <v>326</v>
      </c>
      <c r="D116" s="14"/>
      <c r="E116" s="65" t="s">
        <v>327</v>
      </c>
      <c r="F116" s="7"/>
      <c r="G116" s="9"/>
      <c r="H116" s="9"/>
      <c r="I116" s="9"/>
      <c r="J116" s="9"/>
      <c r="K116" s="9"/>
      <c r="L116" s="9"/>
      <c r="M116" s="9"/>
      <c r="N116" s="9"/>
      <c r="O116" s="9"/>
      <c r="P116" s="9"/>
      <c r="Q116" s="9"/>
      <c r="R116" s="9"/>
      <c r="S116" s="9"/>
      <c r="T116" s="9"/>
      <c r="U116" s="9"/>
      <c r="V116" s="9"/>
      <c r="W116" s="9"/>
      <c r="X116" s="9"/>
      <c r="Y116" s="9"/>
      <c r="Z116" s="6"/>
    </row>
    <row r="117" ht="63.75" customHeight="1">
      <c r="A117" s="51" t="s">
        <v>328</v>
      </c>
      <c r="B117" s="62" t="s">
        <v>329</v>
      </c>
      <c r="C117" s="63" t="s">
        <v>90</v>
      </c>
      <c r="D117" s="97" t="s">
        <v>330</v>
      </c>
      <c r="E117" s="65" t="str">
        <f>IF(C117="","",IF(C117="Yes","Describe how this is accomplished within your system.","Describe any business or technical reasons why customizations are not supported."))</f>
        <v>Describe how this is accomplished within your system.</v>
      </c>
      <c r="F117" s="7"/>
      <c r="G117" s="9"/>
      <c r="H117" s="9"/>
      <c r="I117" s="9"/>
      <c r="J117" s="9"/>
      <c r="K117" s="9"/>
      <c r="L117" s="9"/>
      <c r="M117" s="9"/>
      <c r="N117" s="9"/>
      <c r="O117" s="9"/>
      <c r="P117" s="9"/>
      <c r="Q117" s="9"/>
      <c r="R117" s="9"/>
      <c r="S117" s="9"/>
      <c r="T117" s="9"/>
      <c r="U117" s="9"/>
      <c r="V117" s="9"/>
      <c r="W117" s="9"/>
      <c r="X117" s="9"/>
      <c r="Y117" s="9"/>
      <c r="Z117" s="6"/>
    </row>
    <row r="118" ht="63.75" customHeight="1">
      <c r="A118" s="51" t="s">
        <v>331</v>
      </c>
      <c r="B118" s="62" t="s">
        <v>332</v>
      </c>
      <c r="C118" s="63" t="s">
        <v>90</v>
      </c>
      <c r="D118" s="32" t="s">
        <v>333</v>
      </c>
      <c r="E118" s="65" t="str">
        <f>IF(C118="","",IF(C118="Yes","Describe how this is accomplished within your environment.","Describe your plans to ensure that only application software verifiable as authorized, tested, and approved for production, is placed into production."))</f>
        <v>Describe how this is accomplished within your environment.</v>
      </c>
      <c r="F118" s="7"/>
      <c r="G118" s="9"/>
      <c r="H118" s="9"/>
      <c r="I118" s="9"/>
      <c r="J118" s="9"/>
      <c r="K118" s="9"/>
      <c r="L118" s="9"/>
      <c r="M118" s="9"/>
      <c r="N118" s="9"/>
      <c r="O118" s="9"/>
      <c r="P118" s="9"/>
      <c r="Q118" s="9"/>
      <c r="R118" s="9"/>
      <c r="S118" s="9"/>
      <c r="T118" s="9"/>
      <c r="U118" s="9"/>
      <c r="V118" s="9"/>
      <c r="W118" s="9"/>
      <c r="X118" s="9"/>
      <c r="Y118" s="9"/>
      <c r="Z118" s="6"/>
    </row>
    <row r="119" ht="63.75" customHeight="1">
      <c r="A119" s="51" t="s">
        <v>334</v>
      </c>
      <c r="B119" s="62" t="s">
        <v>335</v>
      </c>
      <c r="C119" s="63" t="s">
        <v>85</v>
      </c>
      <c r="D119" s="32" t="s">
        <v>336</v>
      </c>
      <c r="E119" s="65" t="str">
        <f>IF(C119="","",IF(C119="Yes","Provide a reference to this product's release schedule.","State any plans to release a schedule of product updates."))</f>
        <v>State any plans to release a schedule of product updates.</v>
      </c>
      <c r="F119" s="7"/>
      <c r="G119" s="9"/>
      <c r="H119" s="9"/>
      <c r="I119" s="9"/>
      <c r="J119" s="9"/>
      <c r="K119" s="9"/>
      <c r="L119" s="9"/>
      <c r="M119" s="9"/>
      <c r="N119" s="9"/>
      <c r="O119" s="9"/>
      <c r="P119" s="9"/>
      <c r="Q119" s="9"/>
      <c r="R119" s="9"/>
      <c r="S119" s="9"/>
      <c r="T119" s="9"/>
      <c r="U119" s="9"/>
      <c r="V119" s="9"/>
      <c r="W119" s="9"/>
      <c r="X119" s="9"/>
      <c r="Y119" s="9"/>
      <c r="Z119" s="6"/>
    </row>
    <row r="120" ht="63.75" customHeight="1">
      <c r="A120" s="51" t="s">
        <v>337</v>
      </c>
      <c r="B120" s="62" t="s">
        <v>338</v>
      </c>
      <c r="C120" s="63" t="s">
        <v>90</v>
      </c>
      <c r="D120" s="32" t="s">
        <v>339</v>
      </c>
      <c r="E120" s="65" t="str">
        <f>IF(C120="","",IF(C120="Yes","Provide a reference to your technology roadmap.","State any plans to release a technology roadmap covering the next two years."))</f>
        <v>Provide a reference to your technology roadmap.</v>
      </c>
      <c r="F120" s="7"/>
      <c r="G120" s="9"/>
      <c r="H120" s="9"/>
      <c r="I120" s="9"/>
      <c r="J120" s="9"/>
      <c r="K120" s="9"/>
      <c r="L120" s="9"/>
      <c r="M120" s="9"/>
      <c r="N120" s="9"/>
      <c r="O120" s="9"/>
      <c r="P120" s="9"/>
      <c r="Q120" s="9"/>
      <c r="R120" s="9"/>
      <c r="S120" s="9"/>
      <c r="T120" s="9"/>
      <c r="U120" s="9"/>
      <c r="V120" s="9"/>
      <c r="W120" s="9"/>
      <c r="X120" s="9"/>
      <c r="Y120" s="9"/>
      <c r="Z120" s="6"/>
    </row>
    <row r="121" ht="63.75" customHeight="1">
      <c r="A121" s="51" t="s">
        <v>340</v>
      </c>
      <c r="B121" s="62" t="s">
        <v>341</v>
      </c>
      <c r="C121" s="63" t="s">
        <v>85</v>
      </c>
      <c r="D121" s="98"/>
      <c r="E121" s="65" t="str">
        <f>IF(C121="","",IF(C121="Yes","Summarize the Institution's responsibilities during product updates.",""))</f>
        <v/>
      </c>
      <c r="F121" s="7"/>
      <c r="G121" s="9"/>
      <c r="H121" s="9"/>
      <c r="I121" s="9"/>
      <c r="J121" s="9"/>
      <c r="K121" s="9"/>
      <c r="L121" s="9"/>
      <c r="M121" s="9"/>
      <c r="N121" s="9"/>
      <c r="O121" s="9"/>
      <c r="P121" s="9"/>
      <c r="Q121" s="9"/>
      <c r="R121" s="9"/>
      <c r="S121" s="9"/>
      <c r="T121" s="9"/>
      <c r="U121" s="9"/>
      <c r="V121" s="9"/>
      <c r="W121" s="9"/>
      <c r="X121" s="9"/>
      <c r="Y121" s="9"/>
      <c r="Z121" s="6"/>
    </row>
    <row r="122" ht="63.75" customHeight="1">
      <c r="A122" s="51" t="s">
        <v>342</v>
      </c>
      <c r="B122" s="62" t="s">
        <v>343</v>
      </c>
      <c r="C122" s="63" t="s">
        <v>90</v>
      </c>
      <c r="D122" s="32" t="s">
        <v>344</v>
      </c>
      <c r="E122" s="65" t="str">
        <f>IF(C122="","",IF(C122="Yes","Summarize the policy and procedure(s) managing how critical patches are applied to systems and applications.","State your plans to implement policy and procedure(s) to manage how critical patches are applied to systems and applications."))</f>
        <v>Summarize the policy and procedure(s) managing how critical patches are applied to systems and applications.</v>
      </c>
      <c r="F122" s="7"/>
      <c r="G122" s="9"/>
      <c r="H122" s="9"/>
      <c r="I122" s="9"/>
      <c r="J122" s="9"/>
      <c r="K122" s="9"/>
      <c r="L122" s="9"/>
      <c r="M122" s="9"/>
      <c r="N122" s="9"/>
      <c r="O122" s="9"/>
      <c r="P122" s="9"/>
      <c r="Q122" s="9"/>
      <c r="R122" s="9"/>
      <c r="S122" s="9"/>
      <c r="T122" s="9"/>
      <c r="U122" s="9"/>
      <c r="V122" s="9"/>
      <c r="W122" s="9"/>
      <c r="X122" s="9"/>
      <c r="Y122" s="9"/>
      <c r="Z122" s="6"/>
    </row>
    <row r="123" ht="63.75" customHeight="1">
      <c r="A123" s="51" t="s">
        <v>345</v>
      </c>
      <c r="B123" s="62" t="s">
        <v>346</v>
      </c>
      <c r="C123" s="63" t="s">
        <v>90</v>
      </c>
      <c r="D123" s="95" t="s">
        <v>347</v>
      </c>
      <c r="E123" s="65" t="str">
        <f>IF(C123="","",IF(C123="Yes","Summarize the policy and procedure(s) guiding risk mitigation practices before critical patches can be applied.","State your plans to implement policy and procedure(s) guiding risk mitigation practices before critical patches can be applied."))</f>
        <v>Summarize the policy and procedure(s) guiding risk mitigation practices before critical patches can be applied.</v>
      </c>
      <c r="F123" s="7"/>
      <c r="G123" s="9"/>
      <c r="H123" s="9"/>
      <c r="I123" s="9"/>
      <c r="J123" s="9"/>
      <c r="K123" s="9"/>
      <c r="L123" s="9"/>
      <c r="M123" s="9"/>
      <c r="N123" s="9"/>
      <c r="O123" s="9"/>
      <c r="P123" s="9"/>
      <c r="Q123" s="9"/>
      <c r="R123" s="9"/>
      <c r="S123" s="9"/>
      <c r="T123" s="9"/>
      <c r="U123" s="9"/>
      <c r="V123" s="9"/>
      <c r="W123" s="9"/>
      <c r="X123" s="9"/>
      <c r="Y123" s="9"/>
      <c r="Z123" s="6"/>
    </row>
    <row r="124" ht="48.0" customHeight="1">
      <c r="A124" s="51" t="s">
        <v>348</v>
      </c>
      <c r="B124" s="62" t="s">
        <v>349</v>
      </c>
      <c r="C124" s="63" t="s">
        <v>90</v>
      </c>
      <c r="D124" s="32" t="s">
        <v>350</v>
      </c>
      <c r="E124" s="65" t="str">
        <f>IF(C124="","",IF(C124="Yes","Define current off-peak hours.","Decribe plans to minimize the impact of downtime based on predefined off-peak hours."))</f>
        <v>Define current off-peak hours.</v>
      </c>
      <c r="F124" s="7"/>
      <c r="G124" s="9"/>
      <c r="H124" s="9"/>
      <c r="I124" s="9"/>
      <c r="J124" s="9"/>
      <c r="K124" s="9"/>
      <c r="L124" s="9"/>
      <c r="M124" s="9"/>
      <c r="N124" s="9"/>
      <c r="O124" s="9"/>
      <c r="P124" s="9"/>
      <c r="Q124" s="9"/>
      <c r="R124" s="9"/>
      <c r="S124" s="9"/>
      <c r="T124" s="9"/>
      <c r="U124" s="9"/>
      <c r="V124" s="9"/>
      <c r="W124" s="9"/>
      <c r="X124" s="9"/>
      <c r="Y124" s="9"/>
      <c r="Z124" s="6"/>
    </row>
    <row r="125" ht="48.0" customHeight="1">
      <c r="A125" s="51" t="s">
        <v>351</v>
      </c>
      <c r="B125" s="62" t="s">
        <v>352</v>
      </c>
      <c r="C125" s="63" t="s">
        <v>90</v>
      </c>
      <c r="D125" s="95" t="s">
        <v>353</v>
      </c>
      <c r="E125" s="65" t="str">
        <f>IF(C125="","",IF(C125="Yes","Summarize implemented procedures ensuring that emergency changes are documented and authorized.","Describe plans to implement procedure ensuring that emergency changes are documented and authorized."))</f>
        <v>Summarize implemented procedures ensuring that emergency changes are documented and authorized.</v>
      </c>
      <c r="F125" s="7"/>
      <c r="G125" s="9"/>
      <c r="H125" s="9"/>
      <c r="I125" s="9"/>
      <c r="J125" s="9"/>
      <c r="K125" s="9"/>
      <c r="L125" s="9"/>
      <c r="M125" s="9"/>
      <c r="N125" s="9"/>
      <c r="O125" s="9"/>
      <c r="P125" s="9"/>
      <c r="Q125" s="9"/>
      <c r="R125" s="9"/>
      <c r="S125" s="9"/>
      <c r="T125" s="9"/>
      <c r="U125" s="9"/>
      <c r="V125" s="9"/>
      <c r="W125" s="9"/>
      <c r="X125" s="9"/>
      <c r="Y125" s="9"/>
      <c r="Z125" s="6"/>
    </row>
    <row r="126" ht="36.0" customHeight="1">
      <c r="A126" s="45" t="str">
        <f>IF($C$30="","Data",IF($C$30="Yes","Data - Optional based on QUALIFIER response.","Data"))</f>
        <v>Data</v>
      </c>
      <c r="B126" s="14"/>
      <c r="C126" s="60" t="s">
        <v>79</v>
      </c>
      <c r="D126" s="60" t="s">
        <v>80</v>
      </c>
      <c r="E126" s="61" t="s">
        <v>81</v>
      </c>
      <c r="F126" s="99"/>
      <c r="G126" s="100"/>
      <c r="H126" s="100"/>
      <c r="I126" s="100"/>
      <c r="J126" s="100"/>
      <c r="K126" s="100"/>
      <c r="L126" s="100"/>
      <c r="M126" s="100"/>
      <c r="N126" s="100"/>
      <c r="O126" s="100"/>
      <c r="P126" s="100"/>
      <c r="Q126" s="100"/>
      <c r="R126" s="100"/>
      <c r="S126" s="100"/>
      <c r="T126" s="100"/>
      <c r="U126" s="100"/>
      <c r="V126" s="100"/>
      <c r="W126" s="100"/>
      <c r="X126" s="100"/>
      <c r="Y126" s="100"/>
      <c r="Z126" s="6"/>
    </row>
    <row r="127" ht="48.0" customHeight="1">
      <c r="A127" s="51" t="s">
        <v>354</v>
      </c>
      <c r="B127" s="62" t="s">
        <v>355</v>
      </c>
      <c r="C127" s="101" t="s">
        <v>85</v>
      </c>
      <c r="D127" s="92" t="s">
        <v>356</v>
      </c>
      <c r="E127" s="65" t="str">
        <f>IF(C127="","",IF(C127="Yes","Describe or provide a reference to how institution data is physically and logically separated from that of other customers.","Describe your plan to physically and logically separate Institution's data from other customers."))</f>
        <v>Describe your plan to physically and logically separate Institution's data from other customers.</v>
      </c>
      <c r="F127" s="99"/>
      <c r="G127" s="100"/>
      <c r="H127" s="100"/>
      <c r="I127" s="100"/>
      <c r="J127" s="100"/>
      <c r="K127" s="100"/>
      <c r="L127" s="100"/>
      <c r="M127" s="100"/>
      <c r="N127" s="100"/>
      <c r="O127" s="100"/>
      <c r="P127" s="100"/>
      <c r="Q127" s="100"/>
      <c r="R127" s="100"/>
      <c r="S127" s="100"/>
      <c r="T127" s="100"/>
      <c r="U127" s="100"/>
      <c r="V127" s="100"/>
      <c r="W127" s="100"/>
      <c r="X127" s="100"/>
      <c r="Y127" s="100"/>
      <c r="Z127" s="6"/>
    </row>
    <row r="128" ht="48.0" customHeight="1">
      <c r="A128" s="51" t="s">
        <v>357</v>
      </c>
      <c r="B128" s="62" t="s">
        <v>358</v>
      </c>
      <c r="C128" s="101" t="s">
        <v>85</v>
      </c>
      <c r="D128" s="77"/>
      <c r="E128" s="65" t="str">
        <f>IF(C128="","",IF(C128="Yes","State the need for this strategy, in detail.",""))</f>
        <v/>
      </c>
      <c r="F128" s="99"/>
      <c r="G128" s="100"/>
      <c r="H128" s="100"/>
      <c r="I128" s="100"/>
      <c r="J128" s="100"/>
      <c r="K128" s="100"/>
      <c r="L128" s="100"/>
      <c r="M128" s="100"/>
      <c r="N128" s="100"/>
      <c r="O128" s="100"/>
      <c r="P128" s="100"/>
      <c r="Q128" s="100"/>
      <c r="R128" s="100"/>
      <c r="S128" s="100"/>
      <c r="T128" s="100"/>
      <c r="U128" s="100"/>
      <c r="V128" s="100"/>
      <c r="W128" s="100"/>
      <c r="X128" s="100"/>
      <c r="Y128" s="100"/>
      <c r="Z128" s="6"/>
    </row>
    <row r="129" ht="48.0" customHeight="1">
      <c r="A129" s="51" t="s">
        <v>359</v>
      </c>
      <c r="B129" s="62" t="s">
        <v>360</v>
      </c>
      <c r="C129" s="101" t="s">
        <v>90</v>
      </c>
      <c r="D129" s="92" t="s">
        <v>361</v>
      </c>
      <c r="E129" s="65" t="str">
        <f>IF(C129="","",IF(C129="Yes","Summarize your transport encryption strategy.","Decribe why sensitive data in not encrypted in transport."))</f>
        <v>Summarize your transport encryption strategy.</v>
      </c>
      <c r="F129" s="99"/>
      <c r="G129" s="100"/>
      <c r="H129" s="100"/>
      <c r="I129" s="100"/>
      <c r="J129" s="100"/>
      <c r="K129" s="100"/>
      <c r="L129" s="100"/>
      <c r="M129" s="100"/>
      <c r="N129" s="100"/>
      <c r="O129" s="100"/>
      <c r="P129" s="100"/>
      <c r="Q129" s="100"/>
      <c r="R129" s="100"/>
      <c r="S129" s="100"/>
      <c r="T129" s="100"/>
      <c r="U129" s="100"/>
      <c r="V129" s="100"/>
      <c r="W129" s="100"/>
      <c r="X129" s="100"/>
      <c r="Y129" s="100"/>
      <c r="Z129" s="6"/>
    </row>
    <row r="130" ht="48.0" customHeight="1">
      <c r="A130" s="51" t="s">
        <v>362</v>
      </c>
      <c r="B130" s="62" t="s">
        <v>363</v>
      </c>
      <c r="C130" s="101" t="s">
        <v>90</v>
      </c>
      <c r="D130" s="92" t="s">
        <v>364</v>
      </c>
      <c r="E130" s="65" t="str">
        <f>IF(C130="","",IF(C130="Yes","Summarize your data encryption strategy.","Decribe why sensitive data in not encrypted in storage."))</f>
        <v>Summarize your data encryption strategy.</v>
      </c>
      <c r="F130" s="99"/>
      <c r="G130" s="100"/>
      <c r="H130" s="100"/>
      <c r="I130" s="100"/>
      <c r="J130" s="100"/>
      <c r="K130" s="100"/>
      <c r="L130" s="100"/>
      <c r="M130" s="100"/>
      <c r="N130" s="100"/>
      <c r="O130" s="100"/>
      <c r="P130" s="100"/>
      <c r="Q130" s="100"/>
      <c r="R130" s="100"/>
      <c r="S130" s="100"/>
      <c r="T130" s="100"/>
      <c r="U130" s="100"/>
      <c r="V130" s="100"/>
      <c r="W130" s="100"/>
      <c r="X130" s="100"/>
      <c r="Y130" s="100"/>
      <c r="Z130" s="6"/>
    </row>
    <row r="131" ht="48.0" customHeight="1">
      <c r="A131" s="51" t="s">
        <v>365</v>
      </c>
      <c r="B131" s="62" t="s">
        <v>366</v>
      </c>
      <c r="C131" s="101" t="s">
        <v>85</v>
      </c>
      <c r="D131" s="77"/>
      <c r="E131" s="65" t="str">
        <f>IF(C131="","",IF(C131="Yes","Provide a detailed description of all non-conforming modules.",""))</f>
        <v/>
      </c>
      <c r="F131" s="99"/>
      <c r="G131" s="100"/>
      <c r="H131" s="100"/>
      <c r="I131" s="100"/>
      <c r="J131" s="100"/>
      <c r="K131" s="100"/>
      <c r="L131" s="100"/>
      <c r="M131" s="100"/>
      <c r="N131" s="100"/>
      <c r="O131" s="100"/>
      <c r="P131" s="100"/>
      <c r="Q131" s="100"/>
      <c r="R131" s="100"/>
      <c r="S131" s="100"/>
      <c r="T131" s="100"/>
      <c r="U131" s="100"/>
      <c r="V131" s="100"/>
      <c r="W131" s="100"/>
      <c r="X131" s="100"/>
      <c r="Y131" s="100"/>
      <c r="Z131" s="6"/>
    </row>
    <row r="132" ht="64.5" customHeight="1">
      <c r="A132" s="51" t="s">
        <v>367</v>
      </c>
      <c r="B132" s="62" t="s">
        <v>368</v>
      </c>
      <c r="C132" s="101" t="s">
        <v>90</v>
      </c>
      <c r="D132" s="92" t="s">
        <v>369</v>
      </c>
      <c r="E132" s="65" t="str">
        <f>IF(C132="","","Include all types of encryption; remote-access, application/database, end-user-to-system, etc.")</f>
        <v>Include all types of encryption; remote-access, application/database, end-user-to-system, etc.</v>
      </c>
      <c r="F132" s="99"/>
      <c r="G132" s="100"/>
      <c r="H132" s="100"/>
      <c r="I132" s="100"/>
      <c r="J132" s="100"/>
      <c r="K132" s="100"/>
      <c r="L132" s="100"/>
      <c r="M132" s="100"/>
      <c r="N132" s="100"/>
      <c r="O132" s="100"/>
      <c r="P132" s="100"/>
      <c r="Q132" s="100"/>
      <c r="R132" s="100"/>
      <c r="S132" s="100"/>
      <c r="T132" s="100"/>
      <c r="U132" s="100"/>
      <c r="V132" s="100"/>
      <c r="W132" s="100"/>
      <c r="X132" s="100"/>
      <c r="Y132" s="100"/>
      <c r="Z132" s="6"/>
    </row>
    <row r="133" ht="60.0" customHeight="1">
      <c r="A133" s="51" t="s">
        <v>370</v>
      </c>
      <c r="B133" s="62" t="s">
        <v>371</v>
      </c>
      <c r="C133" s="90" t="s">
        <v>372</v>
      </c>
      <c r="D133" s="14"/>
      <c r="E133" s="65" t="s">
        <v>373</v>
      </c>
      <c r="F133" s="99"/>
      <c r="G133" s="100"/>
      <c r="H133" s="100"/>
      <c r="I133" s="100"/>
      <c r="J133" s="100"/>
      <c r="K133" s="100"/>
      <c r="L133" s="100"/>
      <c r="M133" s="100"/>
      <c r="N133" s="100"/>
      <c r="O133" s="100"/>
      <c r="P133" s="100"/>
      <c r="Q133" s="100"/>
      <c r="R133" s="100"/>
      <c r="S133" s="100"/>
      <c r="T133" s="100"/>
      <c r="U133" s="100"/>
      <c r="V133" s="100"/>
      <c r="W133" s="100"/>
      <c r="X133" s="100"/>
      <c r="Y133" s="100"/>
      <c r="Z133" s="6"/>
    </row>
    <row r="134" ht="48.0" customHeight="1">
      <c r="A134" s="51" t="s">
        <v>374</v>
      </c>
      <c r="B134" s="62" t="s">
        <v>375</v>
      </c>
      <c r="C134" s="101" t="s">
        <v>85</v>
      </c>
      <c r="D134" s="92" t="s">
        <v>376</v>
      </c>
      <c r="E134" s="65" t="str">
        <f>IF(C134="","",IF(C134="Yes","Describe how data will be returned to the institution and in what format will it be presented.","Summarize why the institution's data won't be returned."))</f>
        <v>Summarize why the institution's data won't be returned.</v>
      </c>
      <c r="F134" s="99"/>
      <c r="G134" s="100"/>
      <c r="H134" s="100"/>
      <c r="I134" s="100"/>
      <c r="J134" s="100"/>
      <c r="K134" s="100"/>
      <c r="L134" s="100"/>
      <c r="M134" s="100"/>
      <c r="N134" s="100"/>
      <c r="O134" s="100"/>
      <c r="P134" s="100"/>
      <c r="Q134" s="100"/>
      <c r="R134" s="100"/>
      <c r="S134" s="100"/>
      <c r="T134" s="100"/>
      <c r="U134" s="100"/>
      <c r="V134" s="100"/>
      <c r="W134" s="100"/>
      <c r="X134" s="100"/>
      <c r="Y134" s="100"/>
      <c r="Z134" s="6"/>
    </row>
    <row r="135" ht="48.0" customHeight="1">
      <c r="A135" s="51" t="s">
        <v>377</v>
      </c>
      <c r="B135" s="62" t="s">
        <v>378</v>
      </c>
      <c r="C135" s="101" t="s">
        <v>85</v>
      </c>
      <c r="D135" s="92" t="s">
        <v>376</v>
      </c>
      <c r="E135" s="65" t="str">
        <f>IF(C135="","",IF(C135="Yes","State the length of time that Institution's data will be available in the system at the completion of the contract.","Describe your data export procedures conducted at the termination of contract."))</f>
        <v>Describe your data export procedures conducted at the termination of contract.</v>
      </c>
      <c r="F135" s="99"/>
      <c r="G135" s="100"/>
      <c r="H135" s="100"/>
      <c r="I135" s="100"/>
      <c r="J135" s="100"/>
      <c r="K135" s="100"/>
      <c r="L135" s="100"/>
      <c r="M135" s="100"/>
      <c r="N135" s="100"/>
      <c r="O135" s="100"/>
      <c r="P135" s="100"/>
      <c r="Q135" s="100"/>
      <c r="R135" s="100"/>
      <c r="S135" s="100"/>
      <c r="T135" s="100"/>
      <c r="U135" s="100"/>
      <c r="V135" s="100"/>
      <c r="W135" s="100"/>
      <c r="X135" s="100"/>
      <c r="Y135" s="100"/>
      <c r="Z135" s="6"/>
    </row>
    <row r="136" ht="48.0" customHeight="1">
      <c r="A136" s="51" t="s">
        <v>379</v>
      </c>
      <c r="B136" s="62" t="s">
        <v>380</v>
      </c>
      <c r="C136" s="101" t="s">
        <v>85</v>
      </c>
      <c r="D136" s="92" t="s">
        <v>381</v>
      </c>
      <c r="E136" s="65" t="str">
        <f>IF(C136="","",IF(C136="Yes","Describe frequency and procedures for obtaining a full backup of data.","Summarize why the institution cannot extract a full backup of its data."))</f>
        <v>Summarize why the institution cannot extract a full backup of its data.</v>
      </c>
      <c r="F136" s="99"/>
      <c r="G136" s="100"/>
      <c r="H136" s="100"/>
      <c r="I136" s="100"/>
      <c r="J136" s="100"/>
      <c r="K136" s="100"/>
      <c r="L136" s="100"/>
      <c r="M136" s="100"/>
      <c r="N136" s="100"/>
      <c r="O136" s="100"/>
      <c r="P136" s="100"/>
      <c r="Q136" s="100"/>
      <c r="R136" s="100"/>
      <c r="S136" s="100"/>
      <c r="T136" s="100"/>
      <c r="U136" s="100"/>
      <c r="V136" s="100"/>
      <c r="W136" s="100"/>
      <c r="X136" s="100"/>
      <c r="Y136" s="100"/>
      <c r="Z136" s="6"/>
    </row>
    <row r="137" ht="48.0" customHeight="1">
      <c r="A137" s="51" t="s">
        <v>382</v>
      </c>
      <c r="B137" s="62" t="s">
        <v>383</v>
      </c>
      <c r="C137" s="101" t="s">
        <v>90</v>
      </c>
      <c r="D137" s="102" t="s">
        <v>115</v>
      </c>
      <c r="E137" s="65" t="str">
        <f>IF(C137="","",IF(C137="Yes","Provide reference to your data ownership documention.","Describe in detail why ownership rights are not retained by the institution."))</f>
        <v>Provide reference to your data ownership documention.</v>
      </c>
      <c r="F137" s="99"/>
      <c r="G137" s="100"/>
      <c r="H137" s="100"/>
      <c r="I137" s="100"/>
      <c r="J137" s="100"/>
      <c r="K137" s="100"/>
      <c r="L137" s="100"/>
      <c r="M137" s="100"/>
      <c r="N137" s="100"/>
      <c r="O137" s="100"/>
      <c r="P137" s="100"/>
      <c r="Q137" s="100"/>
      <c r="R137" s="100"/>
      <c r="S137" s="100"/>
      <c r="T137" s="100"/>
      <c r="U137" s="100"/>
      <c r="V137" s="100"/>
      <c r="W137" s="100"/>
      <c r="X137" s="100"/>
      <c r="Y137" s="100"/>
      <c r="Z137" s="6"/>
    </row>
    <row r="138" ht="48.0" customHeight="1">
      <c r="A138" s="51" t="s">
        <v>384</v>
      </c>
      <c r="B138" s="62" t="s">
        <v>385</v>
      </c>
      <c r="C138" s="101" t="s">
        <v>90</v>
      </c>
      <c r="D138" s="77"/>
      <c r="E138" s="65" t="str">
        <f>IF(C138="","",IF(C138="Yes","Provide references, as needed.","Provide a detailed description why rights are not retained."))</f>
        <v>Provide references, as needed.</v>
      </c>
      <c r="F138" s="99"/>
      <c r="G138" s="100"/>
      <c r="H138" s="100"/>
      <c r="I138" s="100"/>
      <c r="J138" s="100"/>
      <c r="K138" s="100"/>
      <c r="L138" s="100"/>
      <c r="M138" s="100"/>
      <c r="N138" s="100"/>
      <c r="O138" s="100"/>
      <c r="P138" s="100"/>
      <c r="Q138" s="100"/>
      <c r="R138" s="100"/>
      <c r="S138" s="100"/>
      <c r="T138" s="100"/>
      <c r="U138" s="100"/>
      <c r="V138" s="100"/>
      <c r="W138" s="100"/>
      <c r="X138" s="100"/>
      <c r="Y138" s="100"/>
      <c r="Z138" s="6"/>
    </row>
    <row r="139" ht="54.0" customHeight="1">
      <c r="A139" s="51" t="s">
        <v>386</v>
      </c>
      <c r="B139" s="62" t="s">
        <v>387</v>
      </c>
      <c r="C139" s="101" t="s">
        <v>90</v>
      </c>
      <c r="D139" s="92" t="s">
        <v>388</v>
      </c>
      <c r="E139" s="65" t="str">
        <f>IF(C139="","",IF(C139="Yes","State how the institution will be notified of imminent termination.","Provide a detailed summary to support your selection."))</f>
        <v>State how the institution will be notified of imminent termination.</v>
      </c>
      <c r="F139" s="99"/>
      <c r="G139" s="100"/>
      <c r="H139" s="100"/>
      <c r="I139" s="100"/>
      <c r="J139" s="100"/>
      <c r="K139" s="100"/>
      <c r="L139" s="100"/>
      <c r="M139" s="100"/>
      <c r="N139" s="100"/>
      <c r="O139" s="100"/>
      <c r="P139" s="100"/>
      <c r="Q139" s="100"/>
      <c r="R139" s="100"/>
      <c r="S139" s="100"/>
      <c r="T139" s="100"/>
      <c r="U139" s="100"/>
      <c r="V139" s="100"/>
      <c r="W139" s="100"/>
      <c r="X139" s="100"/>
      <c r="Y139" s="100"/>
      <c r="Z139" s="6"/>
    </row>
    <row r="140" ht="48.0" customHeight="1">
      <c r="A140" s="51" t="s">
        <v>389</v>
      </c>
      <c r="B140" s="62" t="s">
        <v>390</v>
      </c>
      <c r="C140" s="90" t="s">
        <v>391</v>
      </c>
      <c r="D140" s="14"/>
      <c r="E140" s="65" t="s">
        <v>392</v>
      </c>
      <c r="F140" s="99"/>
      <c r="G140" s="100"/>
      <c r="H140" s="100"/>
      <c r="I140" s="100"/>
      <c r="J140" s="100"/>
      <c r="K140" s="100"/>
      <c r="L140" s="100"/>
      <c r="M140" s="100"/>
      <c r="N140" s="100"/>
      <c r="O140" s="100"/>
      <c r="P140" s="100"/>
      <c r="Q140" s="100"/>
      <c r="R140" s="100"/>
      <c r="S140" s="100"/>
      <c r="T140" s="100"/>
      <c r="U140" s="100"/>
      <c r="V140" s="100"/>
      <c r="W140" s="100"/>
      <c r="X140" s="100"/>
      <c r="Y140" s="100"/>
      <c r="Z140" s="6"/>
    </row>
    <row r="141" ht="48.0" customHeight="1">
      <c r="A141" s="51" t="s">
        <v>393</v>
      </c>
      <c r="B141" s="62" t="s">
        <v>394</v>
      </c>
      <c r="C141" s="101" t="s">
        <v>90</v>
      </c>
      <c r="D141" s="92" t="s">
        <v>395</v>
      </c>
      <c r="E141" s="65" t="str">
        <f>IF(C141="","",IF(C141="Yes","Summarize your backup scheduling strategy.","Describe plans to implement pre-defined schedules for secure backups."))</f>
        <v>Summarize your backup scheduling strategy.</v>
      </c>
      <c r="F141" s="99"/>
      <c r="G141" s="100"/>
      <c r="H141" s="100"/>
      <c r="I141" s="100"/>
      <c r="J141" s="100"/>
      <c r="K141" s="100"/>
      <c r="L141" s="100"/>
      <c r="M141" s="100"/>
      <c r="N141" s="100"/>
      <c r="O141" s="100"/>
      <c r="P141" s="100"/>
      <c r="Q141" s="100"/>
      <c r="R141" s="100"/>
      <c r="S141" s="100"/>
      <c r="T141" s="100"/>
      <c r="U141" s="100"/>
      <c r="V141" s="100"/>
      <c r="W141" s="100"/>
      <c r="X141" s="100"/>
      <c r="Y141" s="100"/>
      <c r="Z141" s="6"/>
    </row>
    <row r="142" ht="48.0" customHeight="1">
      <c r="A142" s="51" t="s">
        <v>396</v>
      </c>
      <c r="B142" s="62" t="s">
        <v>397</v>
      </c>
      <c r="C142" s="90" t="s">
        <v>398</v>
      </c>
      <c r="D142" s="14"/>
      <c r="E142" s="65" t="s">
        <v>399</v>
      </c>
      <c r="F142" s="99"/>
      <c r="G142" s="100"/>
      <c r="H142" s="100"/>
      <c r="I142" s="100"/>
      <c r="J142" s="100"/>
      <c r="K142" s="100"/>
      <c r="L142" s="100"/>
      <c r="M142" s="100"/>
      <c r="N142" s="100"/>
      <c r="O142" s="100"/>
      <c r="P142" s="100"/>
      <c r="Q142" s="100"/>
      <c r="R142" s="100"/>
      <c r="S142" s="100"/>
      <c r="T142" s="100"/>
      <c r="U142" s="100"/>
      <c r="V142" s="100"/>
      <c r="W142" s="100"/>
      <c r="X142" s="100"/>
      <c r="Y142" s="100"/>
      <c r="Z142" s="6"/>
    </row>
    <row r="143" ht="48.0" customHeight="1">
      <c r="A143" s="51" t="s">
        <v>400</v>
      </c>
      <c r="B143" s="62" t="s">
        <v>401</v>
      </c>
      <c r="C143" s="101" t="s">
        <v>90</v>
      </c>
      <c r="D143" s="92" t="s">
        <v>402</v>
      </c>
      <c r="E143" s="65" t="str">
        <f>IF(C143="","",IF(C143="Yes","Summarize the encryption algorithm/strategy you are using to secure backups.","Summarize why backups are not encrypted."))</f>
        <v>Summarize the encryption algorithm/strategy you are using to secure backups.</v>
      </c>
      <c r="F143" s="99"/>
      <c r="G143" s="100"/>
      <c r="H143" s="100"/>
      <c r="I143" s="100"/>
      <c r="J143" s="100"/>
      <c r="K143" s="100"/>
      <c r="L143" s="100"/>
      <c r="M143" s="100"/>
      <c r="N143" s="100"/>
      <c r="O143" s="100"/>
      <c r="P143" s="100"/>
      <c r="Q143" s="100"/>
      <c r="R143" s="100"/>
      <c r="S143" s="100"/>
      <c r="T143" s="100"/>
      <c r="U143" s="100"/>
      <c r="V143" s="100"/>
      <c r="W143" s="100"/>
      <c r="X143" s="100"/>
      <c r="Y143" s="100"/>
      <c r="Z143" s="6"/>
    </row>
    <row r="144" ht="72.0" customHeight="1">
      <c r="A144" s="51" t="s">
        <v>403</v>
      </c>
      <c r="B144" s="62" t="s">
        <v>404</v>
      </c>
      <c r="C144" s="101" t="s">
        <v>90</v>
      </c>
      <c r="D144" s="103" t="s">
        <v>405</v>
      </c>
      <c r="E144" s="65" t="str">
        <f>IF(C144="","",IF(C144="Yes","Summarize your cryptographic key management process.","Provide a brief summary supporting your response."))</f>
        <v>Summarize your cryptographic key management process.</v>
      </c>
      <c r="F144" s="99"/>
      <c r="G144" s="100"/>
      <c r="H144" s="100"/>
      <c r="I144" s="100"/>
      <c r="J144" s="100"/>
      <c r="K144" s="100"/>
      <c r="L144" s="100"/>
      <c r="M144" s="100"/>
      <c r="N144" s="100"/>
      <c r="O144" s="100"/>
      <c r="P144" s="100"/>
      <c r="Q144" s="100"/>
      <c r="R144" s="100"/>
      <c r="S144" s="100"/>
      <c r="T144" s="100"/>
      <c r="U144" s="100"/>
      <c r="V144" s="100"/>
      <c r="W144" s="100"/>
      <c r="X144" s="100"/>
      <c r="Y144" s="100"/>
      <c r="Z144" s="6"/>
    </row>
    <row r="145" ht="48.0" customHeight="1">
      <c r="A145" s="51" t="s">
        <v>406</v>
      </c>
      <c r="B145" s="62" t="s">
        <v>407</v>
      </c>
      <c r="C145" s="101" t="s">
        <v>90</v>
      </c>
      <c r="D145" s="92" t="s">
        <v>395</v>
      </c>
      <c r="E145" s="65" t="str">
        <f>IF(C145="","",IF(C145="Yes","Decribe your overall strategy to accomplish these elements.","State plans to include the elements listed in DATA-20 in your backup strategy."))</f>
        <v>Decribe your overall strategy to accomplish these elements.</v>
      </c>
      <c r="F145" s="99"/>
      <c r="G145" s="100"/>
      <c r="H145" s="100"/>
      <c r="I145" s="100"/>
      <c r="J145" s="100"/>
      <c r="K145" s="100"/>
      <c r="L145" s="100"/>
      <c r="M145" s="100"/>
      <c r="N145" s="100"/>
      <c r="O145" s="100"/>
      <c r="P145" s="100"/>
      <c r="Q145" s="100"/>
      <c r="R145" s="100"/>
      <c r="S145" s="100"/>
      <c r="T145" s="100"/>
      <c r="U145" s="100"/>
      <c r="V145" s="100"/>
      <c r="W145" s="100"/>
      <c r="X145" s="100"/>
      <c r="Y145" s="100"/>
      <c r="Z145" s="6"/>
    </row>
    <row r="146" ht="48.0" customHeight="1">
      <c r="A146" s="51" t="s">
        <v>408</v>
      </c>
      <c r="B146" s="62" t="s">
        <v>409</v>
      </c>
      <c r="C146" s="101" t="s">
        <v>85</v>
      </c>
      <c r="D146" s="92" t="s">
        <v>90</v>
      </c>
      <c r="E146" s="65" t="str">
        <f>IF(C146="","",IF(C146="Yes","Summarize your off site backup strategy.","State any plans to implement off site physical backups in your environment."))</f>
        <v>State any plans to implement off site physical backups in your environment.</v>
      </c>
      <c r="F146" s="99"/>
      <c r="G146" s="100"/>
      <c r="H146" s="100"/>
      <c r="I146" s="100"/>
      <c r="J146" s="100"/>
      <c r="K146" s="100"/>
      <c r="L146" s="100"/>
      <c r="M146" s="100"/>
      <c r="N146" s="100"/>
      <c r="O146" s="100"/>
      <c r="P146" s="100"/>
      <c r="Q146" s="100"/>
      <c r="R146" s="100"/>
      <c r="S146" s="100"/>
      <c r="T146" s="100"/>
      <c r="U146" s="100"/>
      <c r="V146" s="100"/>
      <c r="W146" s="100"/>
      <c r="X146" s="100"/>
      <c r="Y146" s="100"/>
      <c r="Z146" s="6"/>
    </row>
    <row r="147" ht="48.0" customHeight="1">
      <c r="A147" s="51" t="s">
        <v>410</v>
      </c>
      <c r="B147" s="62" t="s">
        <v>411</v>
      </c>
      <c r="C147" s="101" t="s">
        <v>85</v>
      </c>
      <c r="D147" s="92" t="s">
        <v>412</v>
      </c>
      <c r="E147" s="65" t="str">
        <f>IF(C147="","",IF(C147="Yes","Provide the distance (in miles) between the primary and off-site locations.","State any plans to implement off site physical backups in your environment."))</f>
        <v>State any plans to implement off site physical backups in your environment.</v>
      </c>
      <c r="F147" s="99"/>
      <c r="G147" s="100"/>
      <c r="H147" s="100"/>
      <c r="I147" s="100"/>
      <c r="J147" s="100"/>
      <c r="K147" s="100"/>
      <c r="L147" s="100"/>
      <c r="M147" s="100"/>
      <c r="N147" s="100"/>
      <c r="O147" s="100"/>
      <c r="P147" s="100"/>
      <c r="Q147" s="100"/>
      <c r="R147" s="100"/>
      <c r="S147" s="100"/>
      <c r="T147" s="100"/>
      <c r="U147" s="100"/>
      <c r="V147" s="100"/>
      <c r="W147" s="100"/>
      <c r="X147" s="100"/>
      <c r="Y147" s="100"/>
      <c r="Z147" s="6"/>
    </row>
    <row r="148" ht="48.0" customHeight="1">
      <c r="A148" s="51" t="s">
        <v>413</v>
      </c>
      <c r="B148" s="62" t="s">
        <v>414</v>
      </c>
      <c r="C148" s="101" t="s">
        <v>85</v>
      </c>
      <c r="D148" s="77"/>
      <c r="E148" s="65" t="str">
        <f>IF(C148="","",IF(C148="Yes","Summarize why backups containing the Institution's data leave the Institution's data zone.",""))</f>
        <v/>
      </c>
      <c r="F148" s="99"/>
      <c r="G148" s="100"/>
      <c r="H148" s="100"/>
      <c r="I148" s="100"/>
      <c r="J148" s="100"/>
      <c r="K148" s="100"/>
      <c r="L148" s="100"/>
      <c r="M148" s="100"/>
      <c r="N148" s="100"/>
      <c r="O148" s="100"/>
      <c r="P148" s="100"/>
      <c r="Q148" s="100"/>
      <c r="R148" s="100"/>
      <c r="S148" s="100"/>
      <c r="T148" s="100"/>
      <c r="U148" s="100"/>
      <c r="V148" s="100"/>
      <c r="W148" s="100"/>
      <c r="X148" s="100"/>
      <c r="Y148" s="100"/>
      <c r="Z148" s="6"/>
    </row>
    <row r="149" ht="72.75" customHeight="1">
      <c r="A149" s="51" t="s">
        <v>415</v>
      </c>
      <c r="B149" s="62" t="s">
        <v>416</v>
      </c>
      <c r="C149" s="101" t="s">
        <v>85</v>
      </c>
      <c r="D149" s="101" t="s">
        <v>417</v>
      </c>
      <c r="E149" s="65" t="str">
        <f>IF(C149="","",IF(C149="Yes","Provide details of these procedures (link or attached).","Provide a detailed summary for this response."))</f>
        <v>Provide a detailed summary for this response.</v>
      </c>
      <c r="F149" s="99"/>
      <c r="G149" s="100"/>
      <c r="H149" s="100"/>
      <c r="I149" s="100"/>
      <c r="J149" s="100"/>
      <c r="K149" s="100"/>
      <c r="L149" s="100"/>
      <c r="M149" s="100"/>
      <c r="N149" s="100"/>
      <c r="O149" s="100"/>
      <c r="P149" s="100"/>
      <c r="Q149" s="100"/>
      <c r="R149" s="100"/>
      <c r="S149" s="100"/>
      <c r="T149" s="100"/>
      <c r="U149" s="100"/>
      <c r="V149" s="100"/>
      <c r="W149" s="100"/>
      <c r="X149" s="100"/>
      <c r="Y149" s="100"/>
      <c r="Z149" s="6"/>
    </row>
    <row r="150" ht="48.0" customHeight="1">
      <c r="A150" s="51" t="s">
        <v>418</v>
      </c>
      <c r="B150" s="62" t="s">
        <v>419</v>
      </c>
      <c r="C150" s="101" t="s">
        <v>90</v>
      </c>
      <c r="D150" s="77"/>
      <c r="E150" s="65" t="str">
        <f>IF(C150="","",IF(C150="Yes","","State plans to adhere to DoD 5220.22-M and/or NIST SP 800-88 standards."))</f>
        <v/>
      </c>
      <c r="F150" s="99"/>
      <c r="G150" s="100"/>
      <c r="H150" s="100"/>
      <c r="I150" s="100"/>
      <c r="J150" s="100"/>
      <c r="K150" s="100"/>
      <c r="L150" s="100"/>
      <c r="M150" s="100"/>
      <c r="N150" s="100"/>
      <c r="O150" s="100"/>
      <c r="P150" s="100"/>
      <c r="Q150" s="100"/>
      <c r="R150" s="100"/>
      <c r="S150" s="100"/>
      <c r="T150" s="100"/>
      <c r="U150" s="100"/>
      <c r="V150" s="100"/>
      <c r="W150" s="100"/>
      <c r="X150" s="100"/>
      <c r="Y150" s="100"/>
      <c r="Z150" s="6"/>
    </row>
    <row r="151" ht="48.0" customHeight="1">
      <c r="A151" s="51" t="s">
        <v>420</v>
      </c>
      <c r="B151" s="62" t="s">
        <v>421</v>
      </c>
      <c r="C151" s="101" t="s">
        <v>90</v>
      </c>
      <c r="D151" s="92" t="s">
        <v>422</v>
      </c>
      <c r="E151" s="65" t="str">
        <f>IF(C151="","",IF(C151="Yes","Provide a general summary of your long-term data retention strategy.","State plans to implement a long-term data retention strategy."))</f>
        <v>Provide a general summary of your long-term data retention strategy.</v>
      </c>
      <c r="F151" s="99"/>
      <c r="G151" s="100"/>
      <c r="H151" s="100"/>
      <c r="I151" s="100"/>
      <c r="J151" s="100"/>
      <c r="K151" s="100"/>
      <c r="L151" s="100"/>
      <c r="M151" s="100"/>
      <c r="N151" s="100"/>
      <c r="O151" s="100"/>
      <c r="P151" s="100"/>
      <c r="Q151" s="100"/>
      <c r="R151" s="100"/>
      <c r="S151" s="100"/>
      <c r="T151" s="100"/>
      <c r="U151" s="100"/>
      <c r="V151" s="100"/>
      <c r="W151" s="100"/>
      <c r="X151" s="100"/>
      <c r="Y151" s="100"/>
      <c r="Z151" s="6"/>
    </row>
    <row r="152" ht="48.0" customHeight="1">
      <c r="A152" s="51" t="s">
        <v>423</v>
      </c>
      <c r="B152" s="62" t="s">
        <v>424</v>
      </c>
      <c r="C152" s="101" t="s">
        <v>90</v>
      </c>
      <c r="D152" s="101" t="s">
        <v>417</v>
      </c>
      <c r="E152" s="65" t="str">
        <f>IF(C152="","",IF(C152="Yes","Provide a general summary of your archival environment.","State plans to store long-term media in environmentally protected areas."))</f>
        <v>Provide a general summary of your archival environment.</v>
      </c>
      <c r="F152" s="99"/>
      <c r="G152" s="100"/>
      <c r="H152" s="100"/>
      <c r="I152" s="100"/>
      <c r="J152" s="100"/>
      <c r="K152" s="100"/>
      <c r="L152" s="100"/>
      <c r="M152" s="100"/>
      <c r="N152" s="100"/>
      <c r="O152" s="100"/>
      <c r="P152" s="100"/>
      <c r="Q152" s="100"/>
      <c r="R152" s="100"/>
      <c r="S152" s="100"/>
      <c r="T152" s="100"/>
      <c r="U152" s="100"/>
      <c r="V152" s="100"/>
      <c r="W152" s="100"/>
      <c r="X152" s="100"/>
      <c r="Y152" s="100"/>
      <c r="Z152" s="6"/>
    </row>
    <row r="153" ht="48.0" customHeight="1">
      <c r="A153" s="51" t="s">
        <v>425</v>
      </c>
      <c r="B153" s="62" t="s">
        <v>426</v>
      </c>
      <c r="C153" s="101" t="s">
        <v>85</v>
      </c>
      <c r="D153" s="92" t="s">
        <v>427</v>
      </c>
      <c r="E153" s="65" t="str">
        <f>IF(C153="","",IF(C153="Yes","Describe how FERPA compliance is integrated into your process and procedures.","State plans to handle data in a FERPA compliant manner."))</f>
        <v>State plans to handle data in a FERPA compliant manner.</v>
      </c>
      <c r="F153" s="99"/>
      <c r="G153" s="100"/>
      <c r="H153" s="100"/>
      <c r="I153" s="100"/>
      <c r="J153" s="100"/>
      <c r="K153" s="100"/>
      <c r="L153" s="100"/>
      <c r="M153" s="100"/>
      <c r="N153" s="100"/>
      <c r="O153" s="100"/>
      <c r="P153" s="100"/>
      <c r="Q153" s="100"/>
      <c r="R153" s="100"/>
      <c r="S153" s="100"/>
      <c r="T153" s="100"/>
      <c r="U153" s="100"/>
      <c r="V153" s="100"/>
      <c r="W153" s="100"/>
      <c r="X153" s="100"/>
      <c r="Y153" s="100"/>
      <c r="Z153" s="6"/>
    </row>
    <row r="154" ht="48.0" customHeight="1">
      <c r="A154" s="51" t="s">
        <v>428</v>
      </c>
      <c r="B154" s="62" t="s">
        <v>429</v>
      </c>
      <c r="C154" s="101" t="s">
        <v>85</v>
      </c>
      <c r="D154" s="77"/>
      <c r="E154" s="65" t="str">
        <f>IF(C154="","",IF(C154="Yes","Summarize why the Institution's data is visible in system adminitration modules/tools.",""))</f>
        <v/>
      </c>
      <c r="F154" s="99"/>
      <c r="G154" s="100"/>
      <c r="H154" s="100"/>
      <c r="I154" s="100"/>
      <c r="J154" s="100"/>
      <c r="K154" s="100"/>
      <c r="L154" s="100"/>
      <c r="M154" s="100"/>
      <c r="N154" s="100"/>
      <c r="O154" s="100"/>
      <c r="P154" s="100"/>
      <c r="Q154" s="100"/>
      <c r="R154" s="100"/>
      <c r="S154" s="100"/>
      <c r="T154" s="100"/>
      <c r="U154" s="100"/>
      <c r="V154" s="100"/>
      <c r="W154" s="100"/>
      <c r="X154" s="100"/>
      <c r="Y154" s="100"/>
      <c r="Z154" s="6"/>
    </row>
    <row r="155" ht="36.0" customHeight="1">
      <c r="A155" s="45" t="str">
        <f>IF($C$30="","Database",IF($C$30="Yes","Database - Optional based on QUALIFIER response.","Database"))</f>
        <v>Database</v>
      </c>
      <c r="B155" s="14"/>
      <c r="C155" s="60" t="s">
        <v>79</v>
      </c>
      <c r="D155" s="60" t="s">
        <v>80</v>
      </c>
      <c r="E155" s="61" t="s">
        <v>81</v>
      </c>
      <c r="F155" s="99"/>
      <c r="G155" s="100"/>
      <c r="H155" s="100"/>
      <c r="I155" s="100"/>
      <c r="J155" s="100"/>
      <c r="K155" s="100"/>
      <c r="L155" s="100"/>
      <c r="M155" s="100"/>
      <c r="N155" s="100"/>
      <c r="O155" s="100"/>
      <c r="P155" s="100"/>
      <c r="Q155" s="100"/>
      <c r="R155" s="100"/>
      <c r="S155" s="100"/>
      <c r="T155" s="100"/>
      <c r="U155" s="100"/>
      <c r="V155" s="100"/>
      <c r="W155" s="100"/>
      <c r="X155" s="100"/>
      <c r="Y155" s="100"/>
      <c r="Z155" s="6"/>
    </row>
    <row r="156" ht="48.0" customHeight="1">
      <c r="A156" s="51" t="s">
        <v>430</v>
      </c>
      <c r="B156" s="62" t="s">
        <v>431</v>
      </c>
      <c r="C156" s="101" t="s">
        <v>90</v>
      </c>
      <c r="D156" s="92" t="s">
        <v>432</v>
      </c>
      <c r="E156" s="65" t="str">
        <f>IF(C156="","",IF(C156="Yes","Describe the type of encryption that is supported.","State plans to support database encryption (in storage) of specified data elements."))</f>
        <v>Describe the type of encryption that is supported.</v>
      </c>
      <c r="F156" s="99"/>
      <c r="G156" s="100"/>
      <c r="H156" s="100"/>
      <c r="I156" s="100"/>
      <c r="J156" s="100"/>
      <c r="K156" s="100"/>
      <c r="L156" s="100"/>
      <c r="M156" s="100"/>
      <c r="N156" s="100"/>
      <c r="O156" s="100"/>
      <c r="P156" s="100"/>
      <c r="Q156" s="100"/>
      <c r="R156" s="100"/>
      <c r="S156" s="100"/>
      <c r="T156" s="100"/>
      <c r="U156" s="100"/>
      <c r="V156" s="100"/>
      <c r="W156" s="100"/>
      <c r="X156" s="100"/>
      <c r="Y156" s="100"/>
      <c r="Z156" s="6"/>
    </row>
    <row r="157" ht="48.0" customHeight="1">
      <c r="A157" s="51" t="s">
        <v>433</v>
      </c>
      <c r="B157" s="62" t="s">
        <v>434</v>
      </c>
      <c r="C157" s="101" t="s">
        <v>90</v>
      </c>
      <c r="D157" s="92" t="s">
        <v>432</v>
      </c>
      <c r="E157" s="65" t="str">
        <f>IF(C157="","",IF(C157="Yes","Describe how encryption is leveraged in your database(s).","Describe plans to implement encryption in your database(s)"))</f>
        <v>Describe how encryption is leveraged in your database(s).</v>
      </c>
      <c r="F157" s="99"/>
      <c r="G157" s="100"/>
      <c r="H157" s="100"/>
      <c r="I157" s="100"/>
      <c r="J157" s="100"/>
      <c r="K157" s="100"/>
      <c r="L157" s="100"/>
      <c r="M157" s="100"/>
      <c r="N157" s="100"/>
      <c r="O157" s="100"/>
      <c r="P157" s="100"/>
      <c r="Q157" s="100"/>
      <c r="R157" s="100"/>
      <c r="S157" s="100"/>
      <c r="T157" s="100"/>
      <c r="U157" s="100"/>
      <c r="V157" s="100"/>
      <c r="W157" s="100"/>
      <c r="X157" s="100"/>
      <c r="Y157" s="100"/>
      <c r="Z157" s="6"/>
    </row>
    <row r="158" ht="36.0" customHeight="1">
      <c r="A158" s="45" t="str">
        <f>IF($C$30="","Datacenter",IF($C$30="Yes","Datacenter - Optional based on QUALIFIER response.","Datacenter"))</f>
        <v>Datacenter</v>
      </c>
      <c r="B158" s="14"/>
      <c r="C158" s="60" t="s">
        <v>79</v>
      </c>
      <c r="D158" s="60" t="s">
        <v>80</v>
      </c>
      <c r="E158" s="61" t="s">
        <v>81</v>
      </c>
      <c r="F158" s="99"/>
      <c r="G158" s="100"/>
      <c r="H158" s="100"/>
      <c r="I158" s="100"/>
      <c r="J158" s="100"/>
      <c r="K158" s="100"/>
      <c r="L158" s="100"/>
      <c r="M158" s="100"/>
      <c r="N158" s="100"/>
      <c r="O158" s="100"/>
      <c r="P158" s="100"/>
      <c r="Q158" s="100"/>
      <c r="R158" s="100"/>
      <c r="S158" s="100"/>
      <c r="T158" s="100"/>
      <c r="U158" s="100"/>
      <c r="V158" s="100"/>
      <c r="W158" s="100"/>
      <c r="X158" s="100"/>
      <c r="Y158" s="100"/>
      <c r="Z158" s="6"/>
    </row>
    <row r="159" ht="48.75" customHeight="1">
      <c r="A159" s="51" t="s">
        <v>435</v>
      </c>
      <c r="B159" s="62" t="s">
        <v>436</v>
      </c>
      <c r="C159" s="101" t="s">
        <v>85</v>
      </c>
      <c r="D159" s="77"/>
      <c r="E159" s="65" t="str">
        <f>IF(C159="","",IF(C159="Yes","Provide a brief summary of your data center.","Provide a detailed description of where the Institution's data will reside."))</f>
        <v>Provide a detailed description of where the Institution's data will reside.</v>
      </c>
      <c r="F159" s="99"/>
      <c r="G159" s="100"/>
      <c r="H159" s="100"/>
      <c r="I159" s="100"/>
      <c r="J159" s="100"/>
      <c r="K159" s="100"/>
      <c r="L159" s="100"/>
      <c r="M159" s="100"/>
      <c r="N159" s="100"/>
      <c r="O159" s="100"/>
      <c r="P159" s="100"/>
      <c r="Q159" s="100"/>
      <c r="R159" s="100"/>
      <c r="S159" s="100"/>
      <c r="T159" s="100"/>
      <c r="U159" s="100"/>
      <c r="V159" s="100"/>
      <c r="W159" s="100"/>
      <c r="X159" s="100"/>
      <c r="Y159" s="100"/>
      <c r="Z159" s="6"/>
    </row>
    <row r="160" ht="48.0" customHeight="1">
      <c r="A160" s="51" t="s">
        <v>437</v>
      </c>
      <c r="B160" s="62" t="s">
        <v>438</v>
      </c>
      <c r="C160" s="101" t="s">
        <v>90</v>
      </c>
      <c r="D160" s="104" t="s">
        <v>439</v>
      </c>
      <c r="E160" s="65" t="str">
        <f>IF(C160="","",IF(C160="Yes","Obtain the report if possible and add it to your submission.",""))</f>
        <v>Obtain the report if possible and add it to your submission.</v>
      </c>
      <c r="F160" s="99"/>
      <c r="G160" s="100"/>
      <c r="H160" s="100"/>
      <c r="I160" s="100"/>
      <c r="J160" s="100"/>
      <c r="K160" s="100"/>
      <c r="L160" s="100"/>
      <c r="M160" s="100"/>
      <c r="N160" s="100"/>
      <c r="O160" s="100"/>
      <c r="P160" s="100"/>
      <c r="Q160" s="100"/>
      <c r="R160" s="100"/>
      <c r="S160" s="100"/>
      <c r="T160" s="100"/>
      <c r="U160" s="100"/>
      <c r="V160" s="100"/>
      <c r="W160" s="100"/>
      <c r="X160" s="100"/>
      <c r="Y160" s="100"/>
      <c r="Z160" s="6"/>
    </row>
    <row r="161" ht="48.0" customHeight="1">
      <c r="A161" s="51" t="s">
        <v>440</v>
      </c>
      <c r="B161" s="62" t="s">
        <v>441</v>
      </c>
      <c r="C161" s="101" t="s">
        <v>90</v>
      </c>
      <c r="D161" s="77"/>
      <c r="E161" s="65" t="str">
        <f>IF(C161="","",IF(C161="Yes","Describe the on-site staff capabilities.","State any plans to staff data centers 24x7x365."))</f>
        <v>Describe the on-site staff capabilities.</v>
      </c>
      <c r="F161" s="99"/>
      <c r="G161" s="100"/>
      <c r="H161" s="100"/>
      <c r="I161" s="100"/>
      <c r="J161" s="100"/>
      <c r="K161" s="100"/>
      <c r="L161" s="100"/>
      <c r="M161" s="100"/>
      <c r="N161" s="100"/>
      <c r="O161" s="100"/>
      <c r="P161" s="100"/>
      <c r="Q161" s="100"/>
      <c r="R161" s="100"/>
      <c r="S161" s="100"/>
      <c r="T161" s="100"/>
      <c r="U161" s="100"/>
      <c r="V161" s="100"/>
      <c r="W161" s="100"/>
      <c r="X161" s="100"/>
      <c r="Y161" s="100"/>
      <c r="Z161" s="6"/>
    </row>
    <row r="162" ht="46.5" customHeight="1">
      <c r="A162" s="51" t="s">
        <v>442</v>
      </c>
      <c r="B162" s="62" t="s">
        <v>443</v>
      </c>
      <c r="C162" s="101" t="s">
        <v>85</v>
      </c>
      <c r="D162" s="92" t="s">
        <v>444</v>
      </c>
      <c r="E162" s="65" t="str">
        <f>IF(C162="","",IF(C162="Yes","Provide a brief summary of this arrangement.",""))</f>
        <v/>
      </c>
      <c r="F162" s="99"/>
      <c r="G162" s="100"/>
      <c r="H162" s="100"/>
      <c r="I162" s="100"/>
      <c r="J162" s="100"/>
      <c r="K162" s="100"/>
      <c r="L162" s="100"/>
      <c r="M162" s="100"/>
      <c r="N162" s="100"/>
      <c r="O162" s="100"/>
      <c r="P162" s="100"/>
      <c r="Q162" s="100"/>
      <c r="R162" s="100"/>
      <c r="S162" s="100"/>
      <c r="T162" s="100"/>
      <c r="U162" s="100"/>
      <c r="V162" s="100"/>
      <c r="W162" s="100"/>
      <c r="X162" s="100"/>
      <c r="Y162" s="100"/>
      <c r="Z162" s="6"/>
    </row>
    <row r="163" ht="46.5" customHeight="1">
      <c r="A163" s="51" t="s">
        <v>445</v>
      </c>
      <c r="B163" s="62" t="s">
        <v>446</v>
      </c>
      <c r="C163" s="101" t="s">
        <v>85</v>
      </c>
      <c r="D163" s="92" t="s">
        <v>444</v>
      </c>
      <c r="E163" s="65" t="str">
        <f>IF(C163="","",IF(C163="Yes","Describe your physical barrier strategy.","State plans to separate your servers for others via a physical barrier."))</f>
        <v>State plans to separate your servers for others via a physical barrier.</v>
      </c>
      <c r="F163" s="99"/>
      <c r="G163" s="100"/>
      <c r="H163" s="100"/>
      <c r="I163" s="100"/>
      <c r="J163" s="100"/>
      <c r="K163" s="100"/>
      <c r="L163" s="100"/>
      <c r="M163" s="100"/>
      <c r="N163" s="100"/>
      <c r="O163" s="100"/>
      <c r="P163" s="100"/>
      <c r="Q163" s="100"/>
      <c r="R163" s="100"/>
      <c r="S163" s="100"/>
      <c r="T163" s="100"/>
      <c r="U163" s="100"/>
      <c r="V163" s="100"/>
      <c r="W163" s="100"/>
      <c r="X163" s="100"/>
      <c r="Y163" s="100"/>
      <c r="Z163" s="6"/>
    </row>
    <row r="164" ht="48.0" customHeight="1">
      <c r="A164" s="51" t="s">
        <v>447</v>
      </c>
      <c r="B164" s="62" t="s">
        <v>448</v>
      </c>
      <c r="C164" s="101" t="s">
        <v>90</v>
      </c>
      <c r="D164" s="105" t="s">
        <v>449</v>
      </c>
      <c r="E164" s="65" t="str">
        <f>IF(C164="","",IF(C164="Yes","Elaborate on your DCTR-05 response, as needed.","State plans to implement a physical barrier to prevent physical contact with any of your devices."))</f>
        <v>Elaborate on your DCTR-05 response, as needed.</v>
      </c>
      <c r="F164" s="99"/>
      <c r="G164" s="100"/>
      <c r="H164" s="100"/>
      <c r="I164" s="100"/>
      <c r="J164" s="100"/>
      <c r="K164" s="100"/>
      <c r="L164" s="100"/>
      <c r="M164" s="100"/>
      <c r="N164" s="100"/>
      <c r="O164" s="100"/>
      <c r="P164" s="100"/>
      <c r="Q164" s="100"/>
      <c r="R164" s="100"/>
      <c r="S164" s="100"/>
      <c r="T164" s="100"/>
      <c r="U164" s="100"/>
      <c r="V164" s="100"/>
      <c r="W164" s="100"/>
      <c r="X164" s="100"/>
      <c r="Y164" s="100"/>
      <c r="Z164" s="6"/>
    </row>
    <row r="165" ht="46.5" customHeight="1">
      <c r="A165" s="51" t="s">
        <v>450</v>
      </c>
      <c r="B165" s="62" t="s">
        <v>451</v>
      </c>
      <c r="C165" s="101" t="s">
        <v>452</v>
      </c>
      <c r="D165" s="92"/>
      <c r="E165" s="65" t="s">
        <v>453</v>
      </c>
      <c r="F165" s="99"/>
      <c r="G165" s="100"/>
      <c r="H165" s="100"/>
      <c r="I165" s="100"/>
      <c r="J165" s="100"/>
      <c r="K165" s="100"/>
      <c r="L165" s="100"/>
      <c r="M165" s="100"/>
      <c r="N165" s="100"/>
      <c r="O165" s="100"/>
      <c r="P165" s="100"/>
      <c r="Q165" s="100"/>
      <c r="R165" s="100"/>
      <c r="S165" s="100"/>
      <c r="T165" s="100"/>
      <c r="U165" s="100"/>
      <c r="V165" s="100"/>
      <c r="W165" s="100"/>
      <c r="X165" s="100"/>
      <c r="Y165" s="100"/>
      <c r="Z165" s="6"/>
    </row>
    <row r="166" ht="48.0" customHeight="1">
      <c r="A166" s="51" t="s">
        <v>454</v>
      </c>
      <c r="B166" s="62" t="s">
        <v>455</v>
      </c>
      <c r="C166" s="101" t="s">
        <v>85</v>
      </c>
      <c r="D166" s="92" t="s">
        <v>85</v>
      </c>
      <c r="E166" s="65" t="str">
        <f>IF(C166="","",IF(C166="Yes","State the location of the data center and summarize the strategy for this implementation.",""))</f>
        <v/>
      </c>
      <c r="F166" s="99"/>
      <c r="G166" s="100"/>
      <c r="H166" s="100"/>
      <c r="I166" s="100"/>
      <c r="J166" s="100"/>
      <c r="K166" s="100"/>
      <c r="L166" s="100"/>
      <c r="M166" s="100"/>
      <c r="N166" s="100"/>
      <c r="O166" s="100"/>
      <c r="P166" s="100"/>
      <c r="Q166" s="100"/>
      <c r="R166" s="100"/>
      <c r="S166" s="100"/>
      <c r="T166" s="100"/>
      <c r="U166" s="100"/>
      <c r="V166" s="100"/>
      <c r="W166" s="100"/>
      <c r="X166" s="100"/>
      <c r="Y166" s="100"/>
      <c r="Z166" s="6"/>
    </row>
    <row r="167" ht="48.0" customHeight="1">
      <c r="A167" s="51" t="s">
        <v>456</v>
      </c>
      <c r="B167" s="62" t="s">
        <v>457</v>
      </c>
      <c r="C167" s="101" t="s">
        <v>85</v>
      </c>
      <c r="D167" s="77"/>
      <c r="E167" s="65" t="str">
        <f>IF(C167="","",IF(C167="Yes","Summarize the strategy for removing Institution's data from its Data Zone.",""))</f>
        <v/>
      </c>
      <c r="F167" s="99"/>
      <c r="G167" s="100"/>
      <c r="H167" s="100"/>
      <c r="I167" s="100"/>
      <c r="J167" s="100"/>
      <c r="K167" s="100"/>
      <c r="L167" s="100"/>
      <c r="M167" s="100"/>
      <c r="N167" s="100"/>
      <c r="O167" s="100"/>
      <c r="P167" s="100"/>
      <c r="Q167" s="100"/>
      <c r="R167" s="100"/>
      <c r="S167" s="100"/>
      <c r="T167" s="100"/>
      <c r="U167" s="100"/>
      <c r="V167" s="100"/>
      <c r="W167" s="100"/>
      <c r="X167" s="100"/>
      <c r="Y167" s="100"/>
      <c r="Z167" s="6"/>
    </row>
    <row r="168" ht="63.75" customHeight="1">
      <c r="A168" s="51" t="s">
        <v>458</v>
      </c>
      <c r="B168" s="62" t="s">
        <v>459</v>
      </c>
      <c r="C168" s="90" t="s">
        <v>460</v>
      </c>
      <c r="D168" s="14"/>
      <c r="E168" s="65" t="s">
        <v>461</v>
      </c>
      <c r="F168" s="99"/>
      <c r="G168" s="100"/>
      <c r="H168" s="100"/>
      <c r="I168" s="100"/>
      <c r="J168" s="100"/>
      <c r="K168" s="100"/>
      <c r="L168" s="100"/>
      <c r="M168" s="100"/>
      <c r="N168" s="100"/>
      <c r="O168" s="100"/>
      <c r="P168" s="100"/>
      <c r="Q168" s="100"/>
      <c r="R168" s="100"/>
      <c r="S168" s="100"/>
      <c r="T168" s="100"/>
      <c r="U168" s="100"/>
      <c r="V168" s="100"/>
      <c r="W168" s="100"/>
      <c r="X168" s="100"/>
      <c r="Y168" s="100"/>
      <c r="Z168" s="6"/>
    </row>
    <row r="169" ht="54.0" customHeight="1">
      <c r="A169" s="51" t="s">
        <v>462</v>
      </c>
      <c r="B169" s="62" t="s">
        <v>463</v>
      </c>
      <c r="C169" s="101" t="s">
        <v>85</v>
      </c>
      <c r="D169" s="92" t="s">
        <v>464</v>
      </c>
      <c r="E169" s="65" t="str">
        <f>IF(C169="","",IF(C169="Yes","State your primary and secondary data center locations. For cloud infrastructures, state the primary and secondary zones.","Decribe any plans to implement a geographically diverse infrastructure."))</f>
        <v>Decribe any plans to implement a geographically diverse infrastructure.</v>
      </c>
      <c r="F169" s="99"/>
      <c r="G169" s="100"/>
      <c r="H169" s="100"/>
      <c r="I169" s="100"/>
      <c r="J169" s="100"/>
      <c r="K169" s="100"/>
      <c r="L169" s="100"/>
      <c r="M169" s="100"/>
      <c r="N169" s="100"/>
      <c r="O169" s="100"/>
      <c r="P169" s="100"/>
      <c r="Q169" s="100"/>
      <c r="R169" s="100"/>
      <c r="S169" s="100"/>
      <c r="T169" s="100"/>
      <c r="U169" s="100"/>
      <c r="V169" s="100"/>
      <c r="W169" s="100"/>
      <c r="X169" s="100"/>
      <c r="Y169" s="100"/>
      <c r="Z169" s="6"/>
    </row>
    <row r="170" ht="48.0" customHeight="1">
      <c r="A170" s="51" t="s">
        <v>465</v>
      </c>
      <c r="B170" s="62" t="s">
        <v>466</v>
      </c>
      <c r="C170" s="101" t="s">
        <v>90</v>
      </c>
      <c r="D170" s="92" t="s">
        <v>467</v>
      </c>
      <c r="E170" s="65" t="str">
        <f>IF(C170="","",IF(C170="Yes","Summarize details of the contract, where applicable.","State any plans to implement data location elements in future contracts."))</f>
        <v>Summarize details of the contract, where applicable.</v>
      </c>
      <c r="F170" s="99"/>
      <c r="G170" s="100"/>
      <c r="H170" s="100"/>
      <c r="I170" s="100"/>
      <c r="J170" s="100"/>
      <c r="K170" s="100"/>
      <c r="L170" s="100"/>
      <c r="M170" s="100"/>
      <c r="N170" s="100"/>
      <c r="O170" s="100"/>
      <c r="P170" s="100"/>
      <c r="Q170" s="100"/>
      <c r="R170" s="100"/>
      <c r="S170" s="100"/>
      <c r="T170" s="100"/>
      <c r="U170" s="100"/>
      <c r="V170" s="100"/>
      <c r="W170" s="100"/>
      <c r="X170" s="100"/>
      <c r="Y170" s="100"/>
      <c r="Z170" s="6"/>
    </row>
    <row r="171" ht="63.75" customHeight="1">
      <c r="A171" s="51" t="s">
        <v>468</v>
      </c>
      <c r="B171" s="62" t="s">
        <v>469</v>
      </c>
      <c r="C171" s="101" t="s">
        <v>470</v>
      </c>
      <c r="D171" s="66"/>
      <c r="E171" s="65" t="s">
        <v>471</v>
      </c>
      <c r="F171" s="99"/>
      <c r="G171" s="100"/>
      <c r="H171" s="100"/>
      <c r="I171" s="100"/>
      <c r="J171" s="100"/>
      <c r="K171" s="100"/>
      <c r="L171" s="100"/>
      <c r="M171" s="100"/>
      <c r="N171" s="100"/>
      <c r="O171" s="100"/>
      <c r="P171" s="100"/>
      <c r="Q171" s="100"/>
      <c r="R171" s="100"/>
      <c r="S171" s="100"/>
      <c r="T171" s="100"/>
      <c r="U171" s="100"/>
      <c r="V171" s="100"/>
      <c r="W171" s="100"/>
      <c r="X171" s="100"/>
      <c r="Y171" s="100"/>
      <c r="Z171" s="6"/>
    </row>
    <row r="172" ht="48.0" customHeight="1">
      <c r="A172" s="51" t="s">
        <v>472</v>
      </c>
      <c r="B172" s="51" t="s">
        <v>473</v>
      </c>
      <c r="C172" s="106" t="s">
        <v>90</v>
      </c>
      <c r="D172" s="92"/>
      <c r="E172" s="65" t="str">
        <f>IF(C172="","",IF(C172="Yes","Provide a summary to support your response selection.","Describe any plans to implement a high availability environment for your systems."))</f>
        <v>Provide a summary to support your response selection.</v>
      </c>
      <c r="F172" s="79"/>
      <c r="G172" s="80"/>
      <c r="H172" s="80"/>
      <c r="I172" s="80"/>
      <c r="J172" s="80"/>
      <c r="K172" s="80"/>
      <c r="L172" s="80"/>
      <c r="M172" s="80"/>
      <c r="N172" s="80"/>
      <c r="O172" s="80"/>
      <c r="P172" s="80"/>
      <c r="Q172" s="80"/>
      <c r="R172" s="80"/>
      <c r="S172" s="80"/>
      <c r="T172" s="80"/>
      <c r="U172" s="80"/>
      <c r="V172" s="80"/>
      <c r="W172" s="80"/>
      <c r="X172" s="80"/>
      <c r="Y172" s="80"/>
      <c r="Z172" s="6"/>
    </row>
    <row r="173" ht="48.0" customHeight="1">
      <c r="A173" s="51" t="s">
        <v>474</v>
      </c>
      <c r="B173" s="62" t="s">
        <v>475</v>
      </c>
      <c r="C173" s="101" t="s">
        <v>90</v>
      </c>
      <c r="D173" s="77"/>
      <c r="E173" s="65" t="str">
        <f>IF(C173="","",IF(C173="Yes","Provide a detailed description of the implemented strategy. (i.e. batteries, generator)","Provide a brief description."))</f>
        <v>Provide a detailed description of the implemented strategy. (i.e. batteries, generator)</v>
      </c>
      <c r="F173" s="99"/>
      <c r="G173" s="100"/>
      <c r="H173" s="100"/>
      <c r="I173" s="100"/>
      <c r="J173" s="100"/>
      <c r="K173" s="100"/>
      <c r="L173" s="100"/>
      <c r="M173" s="100"/>
      <c r="N173" s="100"/>
      <c r="O173" s="100"/>
      <c r="P173" s="100"/>
      <c r="Q173" s="100"/>
      <c r="R173" s="100"/>
      <c r="S173" s="100"/>
      <c r="T173" s="100"/>
      <c r="U173" s="100"/>
      <c r="V173" s="100"/>
      <c r="W173" s="100"/>
      <c r="X173" s="100"/>
      <c r="Y173" s="100"/>
      <c r="Z173" s="6"/>
    </row>
    <row r="174" ht="48.0" customHeight="1">
      <c r="A174" s="51" t="s">
        <v>476</v>
      </c>
      <c r="B174" s="62" t="s">
        <v>477</v>
      </c>
      <c r="C174" s="101" t="s">
        <v>90</v>
      </c>
      <c r="D174" s="77"/>
      <c r="E174" s="65" t="str">
        <f>IF(C174="","",IF(C174="Yes","State how often redundant power strategies are tested and the date of the last successful test.","State plans to implement redundant power testing for your systems."))</f>
        <v>State how often redundant power strategies are tested and the date of the last successful test.</v>
      </c>
      <c r="F174" s="99"/>
      <c r="G174" s="100"/>
      <c r="H174" s="100"/>
      <c r="I174" s="100"/>
      <c r="J174" s="100"/>
      <c r="K174" s="100"/>
      <c r="L174" s="100"/>
      <c r="M174" s="100"/>
      <c r="N174" s="100"/>
      <c r="O174" s="100"/>
      <c r="P174" s="100"/>
      <c r="Q174" s="100"/>
      <c r="R174" s="100"/>
      <c r="S174" s="100"/>
      <c r="T174" s="100"/>
      <c r="U174" s="100"/>
      <c r="V174" s="100"/>
      <c r="W174" s="100"/>
      <c r="X174" s="100"/>
      <c r="Y174" s="100"/>
      <c r="Z174" s="6"/>
    </row>
    <row r="175" ht="48.0" customHeight="1">
      <c r="A175" s="51" t="s">
        <v>478</v>
      </c>
      <c r="B175" s="62" t="s">
        <v>479</v>
      </c>
      <c r="C175" s="90" t="s">
        <v>480</v>
      </c>
      <c r="D175" s="14"/>
      <c r="E175" s="65" t="s">
        <v>481</v>
      </c>
      <c r="F175" s="99"/>
      <c r="G175" s="100"/>
      <c r="H175" s="100"/>
      <c r="I175" s="100"/>
      <c r="J175" s="100"/>
      <c r="K175" s="100"/>
      <c r="L175" s="100"/>
      <c r="M175" s="100"/>
      <c r="N175" s="100"/>
      <c r="O175" s="100"/>
      <c r="P175" s="100"/>
      <c r="Q175" s="100"/>
      <c r="R175" s="100"/>
      <c r="S175" s="100"/>
      <c r="T175" s="100"/>
      <c r="U175" s="100"/>
      <c r="V175" s="100"/>
      <c r="W175" s="100"/>
      <c r="X175" s="100"/>
      <c r="Y175" s="100"/>
      <c r="Z175" s="6"/>
    </row>
    <row r="176" ht="48.0" customHeight="1">
      <c r="A176" s="51" t="s">
        <v>482</v>
      </c>
      <c r="B176" s="62" t="s">
        <v>483</v>
      </c>
      <c r="C176" s="90" t="s">
        <v>484</v>
      </c>
      <c r="D176" s="14"/>
      <c r="E176" s="65" t="s">
        <v>485</v>
      </c>
      <c r="F176" s="99"/>
      <c r="G176" s="100"/>
      <c r="H176" s="100"/>
      <c r="I176" s="100"/>
      <c r="J176" s="100"/>
      <c r="K176" s="100"/>
      <c r="L176" s="100"/>
      <c r="M176" s="100"/>
      <c r="N176" s="100"/>
      <c r="O176" s="100"/>
      <c r="P176" s="100"/>
      <c r="Q176" s="100"/>
      <c r="R176" s="100"/>
      <c r="S176" s="100"/>
      <c r="T176" s="100"/>
      <c r="U176" s="100"/>
      <c r="V176" s="100"/>
      <c r="W176" s="100"/>
      <c r="X176" s="100"/>
      <c r="Y176" s="100"/>
      <c r="Z176" s="6"/>
    </row>
    <row r="177" ht="48.0" customHeight="1">
      <c r="A177" s="51" t="s">
        <v>486</v>
      </c>
      <c r="B177" s="62" t="s">
        <v>487</v>
      </c>
      <c r="C177" s="101" t="s">
        <v>90</v>
      </c>
      <c r="D177" s="92" t="s">
        <v>488</v>
      </c>
      <c r="E177" s="65" t="str">
        <f>IF(C177="","",IF(C177="Yes","Provide a brief description for each datacenter.","State plans to implement diversity of path in your network provider connections."))</f>
        <v>Provide a brief description for each datacenter.</v>
      </c>
      <c r="F177" s="99"/>
      <c r="G177" s="100"/>
      <c r="H177" s="100"/>
      <c r="I177" s="100"/>
      <c r="J177" s="100"/>
      <c r="K177" s="100"/>
      <c r="L177" s="100"/>
      <c r="M177" s="100"/>
      <c r="N177" s="100"/>
      <c r="O177" s="100"/>
      <c r="P177" s="100"/>
      <c r="Q177" s="100"/>
      <c r="R177" s="100"/>
      <c r="S177" s="100"/>
      <c r="T177" s="100"/>
      <c r="U177" s="100"/>
      <c r="V177" s="100"/>
      <c r="W177" s="100"/>
      <c r="X177" s="100"/>
      <c r="Y177" s="100"/>
      <c r="Z177" s="6"/>
    </row>
    <row r="178" ht="36.0" customHeight="1">
      <c r="A178" s="45" t="str">
        <f>IF(OR($C$28="No",$C$30="Yes"),"DRP - Respond to as many questions below as possible.","Disaster Recovery Plan")</f>
        <v>Disaster Recovery Plan</v>
      </c>
      <c r="B178" s="14"/>
      <c r="C178" s="60" t="s">
        <v>79</v>
      </c>
      <c r="D178" s="60" t="s">
        <v>80</v>
      </c>
      <c r="E178" s="61" t="s">
        <v>81</v>
      </c>
      <c r="F178" s="99"/>
      <c r="G178" s="100"/>
      <c r="H178" s="100"/>
      <c r="I178" s="100"/>
      <c r="J178" s="100"/>
      <c r="K178" s="100"/>
      <c r="L178" s="100"/>
      <c r="M178" s="100"/>
      <c r="N178" s="100"/>
      <c r="O178" s="100"/>
      <c r="P178" s="100"/>
      <c r="Q178" s="100"/>
      <c r="R178" s="100"/>
      <c r="S178" s="100"/>
      <c r="T178" s="100"/>
      <c r="U178" s="100"/>
      <c r="V178" s="100"/>
      <c r="W178" s="100"/>
      <c r="X178" s="100"/>
      <c r="Y178" s="100"/>
      <c r="Z178" s="6"/>
    </row>
    <row r="179" ht="48.0" customHeight="1">
      <c r="A179" s="51" t="s">
        <v>489</v>
      </c>
      <c r="B179" s="62" t="s">
        <v>490</v>
      </c>
      <c r="C179" s="107" t="s">
        <v>491</v>
      </c>
      <c r="D179" s="14"/>
      <c r="E179" s="65" t="s">
        <v>492</v>
      </c>
      <c r="F179" s="99"/>
      <c r="G179" s="100"/>
      <c r="H179" s="100"/>
      <c r="I179" s="100"/>
      <c r="J179" s="100"/>
      <c r="K179" s="100"/>
      <c r="L179" s="100"/>
      <c r="M179" s="100"/>
      <c r="N179" s="100"/>
      <c r="O179" s="100"/>
      <c r="P179" s="100"/>
      <c r="Q179" s="100"/>
      <c r="R179" s="100"/>
      <c r="S179" s="100"/>
      <c r="T179" s="100"/>
      <c r="U179" s="100"/>
      <c r="V179" s="100"/>
      <c r="W179" s="100"/>
      <c r="X179" s="100"/>
      <c r="Y179" s="100"/>
      <c r="Z179" s="6"/>
    </row>
    <row r="180" ht="46.5" customHeight="1">
      <c r="A180" s="51" t="s">
        <v>493</v>
      </c>
      <c r="B180" s="62" t="s">
        <v>494</v>
      </c>
      <c r="C180" s="101" t="s">
        <v>90</v>
      </c>
      <c r="D180" s="92" t="s">
        <v>59</v>
      </c>
      <c r="E180" s="65" t="str">
        <f>IF(C180="","",IF(C180="Yes","State the responsible owner, or position title.","State plans to assign an owner responsible of the maintenance and review of the DRP."))</f>
        <v>State the responsible owner, or position title.</v>
      </c>
      <c r="F180" s="99"/>
      <c r="G180" s="100"/>
      <c r="H180" s="100"/>
      <c r="I180" s="100"/>
      <c r="J180" s="100"/>
      <c r="K180" s="100"/>
      <c r="L180" s="100"/>
      <c r="M180" s="100"/>
      <c r="N180" s="100"/>
      <c r="O180" s="100"/>
      <c r="P180" s="100"/>
      <c r="Q180" s="100"/>
      <c r="R180" s="100"/>
      <c r="S180" s="100"/>
      <c r="T180" s="100"/>
      <c r="U180" s="100"/>
      <c r="V180" s="100"/>
      <c r="W180" s="100"/>
      <c r="X180" s="100"/>
      <c r="Y180" s="100"/>
      <c r="Z180" s="6"/>
    </row>
    <row r="181" ht="46.5" customHeight="1">
      <c r="A181" s="51" t="s">
        <v>495</v>
      </c>
      <c r="B181" s="62" t="s">
        <v>496</v>
      </c>
      <c r="C181" s="101" t="s">
        <v>90</v>
      </c>
      <c r="D181" s="92" t="s">
        <v>497</v>
      </c>
      <c r="E181" s="65" t="str">
        <f>IF(C181="","",IF(C181="Yes","Provide DRP with your submission of this fully-populated HECVAT.",""))</f>
        <v>Provide DRP with your submission of this fully-populated HECVAT.</v>
      </c>
      <c r="F181" s="99"/>
      <c r="G181" s="100"/>
      <c r="H181" s="100"/>
      <c r="I181" s="100"/>
      <c r="J181" s="100"/>
      <c r="K181" s="100"/>
      <c r="L181" s="100"/>
      <c r="M181" s="100"/>
      <c r="N181" s="100"/>
      <c r="O181" s="100"/>
      <c r="P181" s="100"/>
      <c r="Q181" s="100"/>
      <c r="R181" s="100"/>
      <c r="S181" s="100"/>
      <c r="T181" s="100"/>
      <c r="U181" s="100"/>
      <c r="V181" s="100"/>
      <c r="W181" s="100"/>
      <c r="X181" s="100"/>
      <c r="Y181" s="100"/>
      <c r="Z181" s="6"/>
    </row>
    <row r="182" ht="46.5" customHeight="1">
      <c r="A182" s="51" t="s">
        <v>498</v>
      </c>
      <c r="B182" s="62" t="s">
        <v>499</v>
      </c>
      <c r="C182" s="101" t="s">
        <v>85</v>
      </c>
      <c r="D182" s="77"/>
      <c r="E182" s="65" t="str">
        <f>IF(C182="","",IF(C182="Yes","List all locations outside of the U.S. and provide a brief summary of each.",""))</f>
        <v/>
      </c>
      <c r="F182" s="99"/>
      <c r="G182" s="100"/>
      <c r="H182" s="100"/>
      <c r="I182" s="100"/>
      <c r="J182" s="100"/>
      <c r="K182" s="100"/>
      <c r="L182" s="100"/>
      <c r="M182" s="100"/>
      <c r="N182" s="100"/>
      <c r="O182" s="100"/>
      <c r="P182" s="100"/>
      <c r="Q182" s="100"/>
      <c r="R182" s="100"/>
      <c r="S182" s="100"/>
      <c r="T182" s="100"/>
      <c r="U182" s="100"/>
      <c r="V182" s="100"/>
      <c r="W182" s="100"/>
      <c r="X182" s="100"/>
      <c r="Y182" s="100"/>
      <c r="Z182" s="6"/>
    </row>
    <row r="183" ht="46.5" customHeight="1">
      <c r="A183" s="51" t="s">
        <v>500</v>
      </c>
      <c r="B183" s="62" t="s">
        <v>501</v>
      </c>
      <c r="C183" s="101" t="s">
        <v>90</v>
      </c>
      <c r="D183" s="92" t="s">
        <v>502</v>
      </c>
      <c r="E183" s="65" t="str">
        <f>IF(C183="","",IF(C183="Yes","Summarize your disaster recovery strategy including the type of availability your disaster recovery site provides.","Describe your recovery plans if your primary location is unavailable."))</f>
        <v>Summarize your disaster recovery strategy including the type of availability your disaster recovery site provides.</v>
      </c>
      <c r="F183" s="99"/>
      <c r="G183" s="100"/>
      <c r="H183" s="100"/>
      <c r="I183" s="100"/>
      <c r="J183" s="100"/>
      <c r="K183" s="100"/>
      <c r="L183" s="100"/>
      <c r="M183" s="100"/>
      <c r="N183" s="100"/>
      <c r="O183" s="100"/>
      <c r="P183" s="100"/>
      <c r="Q183" s="100"/>
      <c r="R183" s="100"/>
      <c r="S183" s="100"/>
      <c r="T183" s="100"/>
      <c r="U183" s="100"/>
      <c r="V183" s="100"/>
      <c r="W183" s="100"/>
      <c r="X183" s="100"/>
      <c r="Y183" s="100"/>
      <c r="Z183" s="6"/>
    </row>
    <row r="184" ht="46.5" customHeight="1">
      <c r="A184" s="51" t="s">
        <v>503</v>
      </c>
      <c r="B184" s="62" t="s">
        <v>504</v>
      </c>
      <c r="C184" s="101" t="s">
        <v>90</v>
      </c>
      <c r="D184" s="92" t="s">
        <v>505</v>
      </c>
      <c r="E184" s="65" t="str">
        <f>IF(C184="","",IF(C184="Yes","Summarize your disaster recovery relocation testing strategy.","State plans to implement disaster recovery relocation testing."))</f>
        <v>Summarize your disaster recovery relocation testing strategy.</v>
      </c>
      <c r="F184" s="99"/>
      <c r="G184" s="100"/>
      <c r="H184" s="100"/>
      <c r="I184" s="100"/>
      <c r="J184" s="100"/>
      <c r="K184" s="100"/>
      <c r="L184" s="100"/>
      <c r="M184" s="100"/>
      <c r="N184" s="100"/>
      <c r="O184" s="100"/>
      <c r="P184" s="100"/>
      <c r="Q184" s="100"/>
      <c r="R184" s="100"/>
      <c r="S184" s="100"/>
      <c r="T184" s="100"/>
      <c r="U184" s="100"/>
      <c r="V184" s="100"/>
      <c r="W184" s="100"/>
      <c r="X184" s="100"/>
      <c r="Y184" s="100"/>
      <c r="Z184" s="6"/>
    </row>
    <row r="185" ht="46.5" customHeight="1">
      <c r="A185" s="51" t="s">
        <v>506</v>
      </c>
      <c r="B185" s="62" t="s">
        <v>507</v>
      </c>
      <c r="C185" s="101" t="s">
        <v>90</v>
      </c>
      <c r="D185" s="77"/>
      <c r="E185" s="65" t="str">
        <f>IF(C185="","",IF(C185="Yes","Summarize your problem/issue escalation plan.","Describe your plans to implement a problem/issue escalation plan in your DRP."))</f>
        <v>Summarize your problem/issue escalation plan.</v>
      </c>
      <c r="F185" s="99"/>
      <c r="G185" s="100"/>
      <c r="H185" s="100"/>
      <c r="I185" s="100"/>
      <c r="J185" s="100"/>
      <c r="K185" s="100"/>
      <c r="L185" s="100"/>
      <c r="M185" s="100"/>
      <c r="N185" s="100"/>
      <c r="O185" s="100"/>
      <c r="P185" s="100"/>
      <c r="Q185" s="100"/>
      <c r="R185" s="100"/>
      <c r="S185" s="100"/>
      <c r="T185" s="100"/>
      <c r="U185" s="100"/>
      <c r="V185" s="100"/>
      <c r="W185" s="100"/>
      <c r="X185" s="100"/>
      <c r="Y185" s="100"/>
      <c r="Z185" s="6"/>
    </row>
    <row r="186" ht="46.5" customHeight="1">
      <c r="A186" s="51" t="s">
        <v>508</v>
      </c>
      <c r="B186" s="62" t="s">
        <v>509</v>
      </c>
      <c r="C186" s="101" t="s">
        <v>90</v>
      </c>
      <c r="D186" s="77"/>
      <c r="E186" s="65" t="str">
        <f>IF(C186="","",IF(C186="Yes","Summarize your documented communication plan in your DRP.","Describe your plans to implement a documented communication plan in your DRP."))</f>
        <v>Summarize your documented communication plan in your DRP.</v>
      </c>
      <c r="F186" s="99"/>
      <c r="G186" s="100"/>
      <c r="H186" s="100"/>
      <c r="I186" s="100"/>
      <c r="J186" s="100"/>
      <c r="K186" s="100"/>
      <c r="L186" s="100"/>
      <c r="M186" s="100"/>
      <c r="N186" s="100"/>
      <c r="O186" s="100"/>
      <c r="P186" s="100"/>
      <c r="Q186" s="100"/>
      <c r="R186" s="100"/>
      <c r="S186" s="100"/>
      <c r="T186" s="100"/>
      <c r="U186" s="100"/>
      <c r="V186" s="100"/>
      <c r="W186" s="100"/>
      <c r="X186" s="100"/>
      <c r="Y186" s="100"/>
      <c r="Z186" s="6"/>
    </row>
    <row r="187" ht="46.5" customHeight="1">
      <c r="A187" s="51" t="s">
        <v>510</v>
      </c>
      <c r="B187" s="62" t="s">
        <v>511</v>
      </c>
      <c r="C187" s="108" t="s">
        <v>512</v>
      </c>
      <c r="D187" s="14"/>
      <c r="E187" s="65" t="s">
        <v>513</v>
      </c>
      <c r="F187" s="99"/>
      <c r="G187" s="100"/>
      <c r="H187" s="100"/>
      <c r="I187" s="100"/>
      <c r="J187" s="100"/>
      <c r="K187" s="100"/>
      <c r="L187" s="100"/>
      <c r="M187" s="100"/>
      <c r="N187" s="100"/>
      <c r="O187" s="100"/>
      <c r="P187" s="100"/>
      <c r="Q187" s="100"/>
      <c r="R187" s="100"/>
      <c r="S187" s="100"/>
      <c r="T187" s="100"/>
      <c r="U187" s="100"/>
      <c r="V187" s="100"/>
      <c r="W187" s="100"/>
      <c r="X187" s="100"/>
      <c r="Y187" s="100"/>
      <c r="Z187" s="6"/>
    </row>
    <row r="188" ht="63.75" customHeight="1">
      <c r="A188" s="51" t="s">
        <v>514</v>
      </c>
      <c r="B188" s="62" t="s">
        <v>515</v>
      </c>
      <c r="C188" s="101" t="s">
        <v>90</v>
      </c>
      <c r="D188" s="92" t="s">
        <v>516</v>
      </c>
      <c r="E188" s="65" t="str">
        <f>IF(C188="","",IF(C188="Yes","Provide a summary of the results, including actual recovery time.","State the date of your next planned DRP test."))</f>
        <v>Provide a summary of the results, including actual recovery time.</v>
      </c>
      <c r="F188" s="99"/>
      <c r="G188" s="100"/>
      <c r="H188" s="100"/>
      <c r="I188" s="100"/>
      <c r="J188" s="100"/>
      <c r="K188" s="100"/>
      <c r="L188" s="100"/>
      <c r="M188" s="100"/>
      <c r="N188" s="100"/>
      <c r="O188" s="100"/>
      <c r="P188" s="100"/>
      <c r="Q188" s="100"/>
      <c r="R188" s="100"/>
      <c r="S188" s="100"/>
      <c r="T188" s="100"/>
      <c r="U188" s="100"/>
      <c r="V188" s="100"/>
      <c r="W188" s="100"/>
      <c r="X188" s="100"/>
      <c r="Y188" s="100"/>
      <c r="Z188" s="6"/>
    </row>
    <row r="189" ht="63.75" customHeight="1">
      <c r="A189" s="51" t="s">
        <v>517</v>
      </c>
      <c r="B189" s="62" t="s">
        <v>518</v>
      </c>
      <c r="C189" s="101" t="s">
        <v>90</v>
      </c>
      <c r="D189" s="92"/>
      <c r="E189" s="65" t="str">
        <f>IF(C189="","",IF(C189="Yes","Summarize your recovery time capabilities observations.","Describe plans to implement appropriate tests to identify actual recovery time capabilities."))</f>
        <v>Summarize your recovery time capabilities observations.</v>
      </c>
      <c r="F189" s="99"/>
      <c r="G189" s="100"/>
      <c r="H189" s="100"/>
      <c r="I189" s="100"/>
      <c r="J189" s="100"/>
      <c r="K189" s="100"/>
      <c r="L189" s="100"/>
      <c r="M189" s="100"/>
      <c r="N189" s="100"/>
      <c r="O189" s="100"/>
      <c r="P189" s="100"/>
      <c r="Q189" s="100"/>
      <c r="R189" s="100"/>
      <c r="S189" s="100"/>
      <c r="T189" s="100"/>
      <c r="U189" s="100"/>
      <c r="V189" s="100"/>
      <c r="W189" s="100"/>
      <c r="X189" s="100"/>
      <c r="Y189" s="100"/>
      <c r="Z189" s="6"/>
    </row>
    <row r="190" ht="48.0" customHeight="1">
      <c r="A190" s="51" t="s">
        <v>519</v>
      </c>
      <c r="B190" s="62" t="s">
        <v>520</v>
      </c>
      <c r="C190" s="101" t="s">
        <v>90</v>
      </c>
      <c r="D190" s="93" t="s">
        <v>521</v>
      </c>
      <c r="E190" s="65" t="str">
        <f>IF(C190="","",IF(C190="Yes","Summarize your DRP review and update processes and/or procedures.","State plans to implement annual (at a minimum) testing of your DRP."))</f>
        <v>Summarize your DRP review and update processes and/or procedures.</v>
      </c>
      <c r="F190" s="99"/>
      <c r="G190" s="100"/>
      <c r="H190" s="100"/>
      <c r="I190" s="100"/>
      <c r="J190" s="100"/>
      <c r="K190" s="100"/>
      <c r="L190" s="100"/>
      <c r="M190" s="100"/>
      <c r="N190" s="100"/>
      <c r="O190" s="100"/>
      <c r="P190" s="100"/>
      <c r="Q190" s="100"/>
      <c r="R190" s="100"/>
      <c r="S190" s="100"/>
      <c r="T190" s="100"/>
      <c r="U190" s="100"/>
      <c r="V190" s="100"/>
      <c r="W190" s="100"/>
      <c r="X190" s="100"/>
      <c r="Y190" s="100"/>
      <c r="Z190" s="6"/>
    </row>
    <row r="191" ht="48.0" customHeight="1">
      <c r="A191" s="51" t="s">
        <v>522</v>
      </c>
      <c r="B191" s="62" t="s">
        <v>523</v>
      </c>
      <c r="C191" s="101" t="s">
        <v>85</v>
      </c>
      <c r="D191" s="92" t="s">
        <v>524</v>
      </c>
      <c r="E191" s="65" t="str">
        <f>IF(C191="","",IF(C191="Yes","Summarize your cyber insurance strategy.","Descibe any plans to carry cyber-risk insurance in the future."))</f>
        <v>Descibe any plans to carry cyber-risk insurance in the future.</v>
      </c>
      <c r="F191" s="99"/>
      <c r="G191" s="100"/>
      <c r="H191" s="100"/>
      <c r="I191" s="100"/>
      <c r="J191" s="100"/>
      <c r="K191" s="100"/>
      <c r="L191" s="100"/>
      <c r="M191" s="100"/>
      <c r="N191" s="100"/>
      <c r="O191" s="100"/>
      <c r="P191" s="100"/>
      <c r="Q191" s="100"/>
      <c r="R191" s="100"/>
      <c r="S191" s="100"/>
      <c r="T191" s="100"/>
      <c r="U191" s="100"/>
      <c r="V191" s="100"/>
      <c r="W191" s="100"/>
      <c r="X191" s="100"/>
      <c r="Y191" s="100"/>
      <c r="Z191" s="6"/>
    </row>
    <row r="192" ht="36.0" customHeight="1">
      <c r="A192" s="45" t="str">
        <f>IF($C$30="","Firewalls, IDS, IPS, and Networking",IF($C$30="Yes","FW/IDPS/Networks - Optional based on QUALIFIER response.","Firewalls, IDS, IPS, and Networking"))</f>
        <v>Firewalls, IDS, IPS, and Networking</v>
      </c>
      <c r="B192" s="14"/>
      <c r="C192" s="60" t="s">
        <v>79</v>
      </c>
      <c r="D192" s="60" t="s">
        <v>80</v>
      </c>
      <c r="E192" s="61" t="s">
        <v>81</v>
      </c>
      <c r="F192" s="99"/>
      <c r="G192" s="100"/>
      <c r="H192" s="100"/>
      <c r="I192" s="100"/>
      <c r="J192" s="100"/>
      <c r="K192" s="100"/>
      <c r="L192" s="100"/>
      <c r="M192" s="100"/>
      <c r="N192" s="100"/>
      <c r="O192" s="100"/>
      <c r="P192" s="100"/>
      <c r="Q192" s="100"/>
      <c r="R192" s="100"/>
      <c r="S192" s="100"/>
      <c r="T192" s="100"/>
      <c r="U192" s="100"/>
      <c r="V192" s="100"/>
      <c r="W192" s="100"/>
      <c r="X192" s="100"/>
      <c r="Y192" s="100"/>
      <c r="Z192" s="6"/>
    </row>
    <row r="193" ht="48.0" customHeight="1">
      <c r="A193" s="51" t="s">
        <v>525</v>
      </c>
      <c r="B193" s="62" t="s">
        <v>526</v>
      </c>
      <c r="C193" s="101" t="s">
        <v>90</v>
      </c>
      <c r="D193" s="92" t="s">
        <v>527</v>
      </c>
      <c r="E193" s="65" t="str">
        <f>IF(C193="","",IF(C193="Yes","Describe the currently implemented WAF.","Describe compensating controls that protect your web application, if applicable."))</f>
        <v>Describe the currently implemented WAF.</v>
      </c>
      <c r="F193" s="99"/>
      <c r="G193" s="100"/>
      <c r="H193" s="100"/>
      <c r="I193" s="100"/>
      <c r="J193" s="100"/>
      <c r="K193" s="100"/>
      <c r="L193" s="100"/>
      <c r="M193" s="100"/>
      <c r="N193" s="100"/>
      <c r="O193" s="100"/>
      <c r="P193" s="100"/>
      <c r="Q193" s="100"/>
      <c r="R193" s="100"/>
      <c r="S193" s="100"/>
      <c r="T193" s="100"/>
      <c r="U193" s="100"/>
      <c r="V193" s="100"/>
      <c r="W193" s="100"/>
      <c r="X193" s="100"/>
      <c r="Y193" s="100"/>
      <c r="Z193" s="6"/>
    </row>
    <row r="194" ht="48.0" customHeight="1">
      <c r="A194" s="51" t="s">
        <v>528</v>
      </c>
      <c r="B194" s="62" t="s">
        <v>529</v>
      </c>
      <c r="C194" s="101" t="s">
        <v>85</v>
      </c>
      <c r="D194" s="92" t="s">
        <v>530</v>
      </c>
      <c r="E194" s="65" t="str">
        <f>IF(C194="","",IF(C194="Yes","Describe the currently implemented SPI firewall.","Describe any plans to implement a SPI firewall."))</f>
        <v>Describe any plans to implement a SPI firewall.</v>
      </c>
      <c r="F194" s="99"/>
      <c r="G194" s="100"/>
      <c r="H194" s="100"/>
      <c r="I194" s="100"/>
      <c r="J194" s="100"/>
      <c r="K194" s="100"/>
      <c r="L194" s="100"/>
      <c r="M194" s="100"/>
      <c r="N194" s="100"/>
      <c r="O194" s="100"/>
      <c r="P194" s="100"/>
      <c r="Q194" s="100"/>
      <c r="R194" s="100"/>
      <c r="S194" s="100"/>
      <c r="T194" s="100"/>
      <c r="U194" s="100"/>
      <c r="V194" s="100"/>
      <c r="W194" s="100"/>
      <c r="X194" s="100"/>
      <c r="Y194" s="100"/>
      <c r="Z194" s="6"/>
    </row>
    <row r="195" ht="48.0" customHeight="1">
      <c r="A195" s="51" t="s">
        <v>531</v>
      </c>
      <c r="B195" s="62" t="s">
        <v>532</v>
      </c>
      <c r="C195" s="90" t="s">
        <v>533</v>
      </c>
      <c r="D195" s="14"/>
      <c r="E195" s="65" t="s">
        <v>534</v>
      </c>
      <c r="F195" s="99"/>
      <c r="G195" s="100"/>
      <c r="H195" s="100"/>
      <c r="I195" s="100"/>
      <c r="J195" s="100"/>
      <c r="K195" s="100"/>
      <c r="L195" s="100"/>
      <c r="M195" s="100"/>
      <c r="N195" s="100"/>
      <c r="O195" s="100"/>
      <c r="P195" s="100"/>
      <c r="Q195" s="100"/>
      <c r="R195" s="100"/>
      <c r="S195" s="100"/>
      <c r="T195" s="100"/>
      <c r="U195" s="100"/>
      <c r="V195" s="100"/>
      <c r="W195" s="100"/>
      <c r="X195" s="100"/>
      <c r="Y195" s="100"/>
      <c r="Z195" s="6"/>
    </row>
    <row r="196" ht="48.0" customHeight="1">
      <c r="A196" s="51" t="s">
        <v>535</v>
      </c>
      <c r="B196" s="62" t="s">
        <v>536</v>
      </c>
      <c r="C196" s="101" t="s">
        <v>90</v>
      </c>
      <c r="D196" s="109" t="s">
        <v>537</v>
      </c>
      <c r="E196" s="65" t="str">
        <f>IF(C196="","",IF(C196="Yes","Describe your documented firewall change request policy.","Describe your plans to implement a documented policy for firewall change requests."))</f>
        <v>Describe your documented firewall change request policy.</v>
      </c>
      <c r="F196" s="99"/>
      <c r="G196" s="100"/>
      <c r="H196" s="100"/>
      <c r="I196" s="100"/>
      <c r="J196" s="100"/>
      <c r="K196" s="100"/>
      <c r="L196" s="100"/>
      <c r="M196" s="100"/>
      <c r="N196" s="100"/>
      <c r="O196" s="100"/>
      <c r="P196" s="100"/>
      <c r="Q196" s="100"/>
      <c r="R196" s="100"/>
      <c r="S196" s="100"/>
      <c r="T196" s="100"/>
      <c r="U196" s="100"/>
      <c r="V196" s="100"/>
      <c r="W196" s="100"/>
      <c r="X196" s="100"/>
      <c r="Y196" s="100"/>
      <c r="Z196" s="6"/>
    </row>
    <row r="197" ht="48.0" customHeight="1">
      <c r="A197" s="51" t="s">
        <v>538</v>
      </c>
      <c r="B197" s="62" t="s">
        <v>539</v>
      </c>
      <c r="C197" s="101" t="s">
        <v>90</v>
      </c>
      <c r="D197" s="105" t="s">
        <v>540</v>
      </c>
      <c r="E197" s="65" t="str">
        <f>IF(C197="","",IF(C197="Yes","Describe the currently implemented IDS.","Describe your plan to implement a Intrusion Detection System in your environment."))</f>
        <v>Describe the currently implemented IDS.</v>
      </c>
      <c r="F197" s="99"/>
      <c r="G197" s="100"/>
      <c r="H197" s="100"/>
      <c r="I197" s="100"/>
      <c r="J197" s="100"/>
      <c r="K197" s="100"/>
      <c r="L197" s="100"/>
      <c r="M197" s="100"/>
      <c r="N197" s="100"/>
      <c r="O197" s="100"/>
      <c r="P197" s="100"/>
      <c r="Q197" s="100"/>
      <c r="R197" s="100"/>
      <c r="S197" s="100"/>
      <c r="T197" s="100"/>
      <c r="U197" s="100"/>
      <c r="V197" s="100"/>
      <c r="W197" s="100"/>
      <c r="X197" s="100"/>
      <c r="Y197" s="100"/>
      <c r="Z197" s="6"/>
    </row>
    <row r="198" ht="48.0" customHeight="1">
      <c r="A198" s="51" t="s">
        <v>541</v>
      </c>
      <c r="B198" s="62" t="s">
        <v>542</v>
      </c>
      <c r="C198" s="101" t="s">
        <v>90</v>
      </c>
      <c r="D198" s="105" t="s">
        <v>543</v>
      </c>
      <c r="E198" s="65" t="str">
        <f>IF(C198="","",IF(C198="Yes","Describe the currently implemented IPS.","Describe your plan to implement a Intrusion Prevention System in your environment."))</f>
        <v>Describe the currently implemented IPS.</v>
      </c>
      <c r="F198" s="99"/>
      <c r="G198" s="100"/>
      <c r="H198" s="100"/>
      <c r="I198" s="100"/>
      <c r="J198" s="100"/>
      <c r="K198" s="100"/>
      <c r="L198" s="100"/>
      <c r="M198" s="100"/>
      <c r="N198" s="100"/>
      <c r="O198" s="100"/>
      <c r="P198" s="100"/>
      <c r="Q198" s="100"/>
      <c r="R198" s="100"/>
      <c r="S198" s="100"/>
      <c r="T198" s="100"/>
      <c r="U198" s="100"/>
      <c r="V198" s="100"/>
      <c r="W198" s="100"/>
      <c r="X198" s="100"/>
      <c r="Y198" s="100"/>
      <c r="Z198" s="6"/>
    </row>
    <row r="199" ht="48.0" customHeight="1">
      <c r="A199" s="51" t="s">
        <v>544</v>
      </c>
      <c r="B199" s="62" t="s">
        <v>545</v>
      </c>
      <c r="C199" s="101" t="s">
        <v>90</v>
      </c>
      <c r="D199" s="105" t="s">
        <v>546</v>
      </c>
      <c r="E199" s="65" t="str">
        <f>IF(C199="","",IF(C199="Yes","Describe the currently implemented host-based IDS solution(s).","Describe your plan to implement host-based Intrusion Detection System capabilities in your environment."))</f>
        <v>Describe the currently implemented host-based IDS solution(s).</v>
      </c>
      <c r="F199" s="99"/>
      <c r="G199" s="100"/>
      <c r="H199" s="100"/>
      <c r="I199" s="100"/>
      <c r="J199" s="100"/>
      <c r="K199" s="100"/>
      <c r="L199" s="100"/>
      <c r="M199" s="100"/>
      <c r="N199" s="100"/>
      <c r="O199" s="100"/>
      <c r="P199" s="100"/>
      <c r="Q199" s="100"/>
      <c r="R199" s="100"/>
      <c r="S199" s="100"/>
      <c r="T199" s="100"/>
      <c r="U199" s="100"/>
      <c r="V199" s="100"/>
      <c r="W199" s="100"/>
      <c r="X199" s="100"/>
      <c r="Y199" s="100"/>
      <c r="Z199" s="6"/>
    </row>
    <row r="200" ht="48.0" customHeight="1">
      <c r="A200" s="51" t="s">
        <v>547</v>
      </c>
      <c r="B200" s="62" t="s">
        <v>548</v>
      </c>
      <c r="C200" s="101" t="s">
        <v>90</v>
      </c>
      <c r="D200" s="105" t="s">
        <v>549</v>
      </c>
      <c r="E200" s="65" t="str">
        <f>IF(C200="","",IF(C200="Yes","Describe the currently implemented host-based IPS solution(s).","Describe your plan to implement host-based Intrusion Prevention System capabilities in your environment."))</f>
        <v>Describe the currently implemented host-based IPS solution(s).</v>
      </c>
      <c r="F200" s="99"/>
      <c r="G200" s="100"/>
      <c r="H200" s="100"/>
      <c r="I200" s="100"/>
      <c r="J200" s="100"/>
      <c r="K200" s="100"/>
      <c r="L200" s="100"/>
      <c r="M200" s="100"/>
      <c r="N200" s="100"/>
      <c r="O200" s="100"/>
      <c r="P200" s="100"/>
      <c r="Q200" s="100"/>
      <c r="R200" s="100"/>
      <c r="S200" s="100"/>
      <c r="T200" s="100"/>
      <c r="U200" s="100"/>
      <c r="V200" s="100"/>
      <c r="W200" s="100"/>
      <c r="X200" s="100"/>
      <c r="Y200" s="100"/>
      <c r="Z200" s="6"/>
    </row>
    <row r="201" ht="48.0" customHeight="1">
      <c r="A201" s="51" t="s">
        <v>550</v>
      </c>
      <c r="B201" s="62" t="s">
        <v>551</v>
      </c>
      <c r="C201" s="101" t="s">
        <v>90</v>
      </c>
      <c r="D201" s="92" t="s">
        <v>552</v>
      </c>
      <c r="E201" s="65" t="str">
        <f>IF(C201="","",IF(C201="Yes","Describe your NGPT monitoring strategy.","Describe your intent to implement NGPT monitoring."))</f>
        <v>Describe your NGPT monitoring strategy.</v>
      </c>
      <c r="F201" s="99"/>
      <c r="G201" s="100"/>
      <c r="H201" s="100"/>
      <c r="I201" s="100"/>
      <c r="J201" s="100"/>
      <c r="K201" s="100"/>
      <c r="L201" s="100"/>
      <c r="M201" s="100"/>
      <c r="N201" s="100"/>
      <c r="O201" s="100"/>
      <c r="P201" s="100"/>
      <c r="Q201" s="100"/>
      <c r="R201" s="100"/>
      <c r="S201" s="100"/>
      <c r="T201" s="100"/>
      <c r="U201" s="100"/>
      <c r="V201" s="100"/>
      <c r="W201" s="100"/>
      <c r="X201" s="100"/>
      <c r="Y201" s="100"/>
      <c r="Z201" s="6"/>
    </row>
    <row r="202" ht="48.0" customHeight="1">
      <c r="A202" s="51" t="s">
        <v>553</v>
      </c>
      <c r="B202" s="62" t="s">
        <v>554</v>
      </c>
      <c r="C202" s="101" t="s">
        <v>90</v>
      </c>
      <c r="D202" s="92"/>
      <c r="E202" s="65" t="str">
        <f>IF(C202="","",IF(C202="Yes","Provide a brief summary of this activity.","State plans to implement 24x7x365 intrusion monitoring in your environment(s)."))</f>
        <v>Provide a brief summary of this activity.</v>
      </c>
      <c r="F202" s="99"/>
      <c r="G202" s="100"/>
      <c r="H202" s="100"/>
      <c r="I202" s="100"/>
      <c r="J202" s="100"/>
      <c r="K202" s="100"/>
      <c r="L202" s="100"/>
      <c r="M202" s="100"/>
      <c r="N202" s="100"/>
      <c r="O202" s="100"/>
      <c r="P202" s="100"/>
      <c r="Q202" s="100"/>
      <c r="R202" s="100"/>
      <c r="S202" s="100"/>
      <c r="T202" s="100"/>
      <c r="U202" s="100"/>
      <c r="V202" s="100"/>
      <c r="W202" s="100"/>
      <c r="X202" s="100"/>
      <c r="Y202" s="100"/>
      <c r="Z202" s="6"/>
    </row>
    <row r="203" ht="48.0" customHeight="1">
      <c r="A203" s="51" t="s">
        <v>555</v>
      </c>
      <c r="B203" s="62" t="s">
        <v>556</v>
      </c>
      <c r="C203" s="90" t="s">
        <v>557</v>
      </c>
      <c r="D203" s="14"/>
      <c r="E203" s="65" t="s">
        <v>558</v>
      </c>
      <c r="F203" s="99"/>
      <c r="G203" s="100"/>
      <c r="H203" s="100"/>
      <c r="I203" s="100"/>
      <c r="J203" s="100"/>
      <c r="K203" s="100"/>
      <c r="L203" s="100"/>
      <c r="M203" s="100"/>
      <c r="N203" s="100"/>
      <c r="O203" s="100"/>
      <c r="P203" s="100"/>
      <c r="Q203" s="100"/>
      <c r="R203" s="100"/>
      <c r="S203" s="100"/>
      <c r="T203" s="100"/>
      <c r="U203" s="100"/>
      <c r="V203" s="100"/>
      <c r="W203" s="100"/>
      <c r="X203" s="100"/>
      <c r="Y203" s="100"/>
      <c r="Z203" s="6"/>
    </row>
    <row r="204" ht="48.0" customHeight="1">
      <c r="A204" s="51" t="s">
        <v>559</v>
      </c>
      <c r="B204" s="62" t="s">
        <v>560</v>
      </c>
      <c r="C204" s="101" t="s">
        <v>90</v>
      </c>
      <c r="D204" s="92" t="s">
        <v>561</v>
      </c>
      <c r="E204" s="65" t="str">
        <f>IF(C204="","",IF(C204="Yes","Describe your current network systems logging strategy.","State plans to implement auditing capabilities for your network, firewall, IDS and/or IPS"))</f>
        <v>Describe your current network systems logging strategy.</v>
      </c>
      <c r="F204" s="99"/>
      <c r="G204" s="100"/>
      <c r="H204" s="100"/>
      <c r="I204" s="100"/>
      <c r="J204" s="100"/>
      <c r="K204" s="100"/>
      <c r="L204" s="100"/>
      <c r="M204" s="100"/>
      <c r="N204" s="100"/>
      <c r="O204" s="100"/>
      <c r="P204" s="100"/>
      <c r="Q204" s="100"/>
      <c r="R204" s="100"/>
      <c r="S204" s="100"/>
      <c r="T204" s="100"/>
      <c r="U204" s="100"/>
      <c r="V204" s="100"/>
      <c r="W204" s="100"/>
      <c r="X204" s="100"/>
      <c r="Y204" s="100"/>
      <c r="Z204" s="6"/>
    </row>
    <row r="205" ht="36.0" customHeight="1">
      <c r="A205" s="45" t="str">
        <f>IF(OR($C$25="No",$C$30="Yes"),"Mobile Applications - Optional based on QUALIFIER response.","Mobile Applications")</f>
        <v>Mobile Applications - Optional based on QUALIFIER response.</v>
      </c>
      <c r="B205" s="14"/>
      <c r="C205" s="60" t="s">
        <v>79</v>
      </c>
      <c r="D205" s="60" t="s">
        <v>80</v>
      </c>
      <c r="E205" s="61" t="s">
        <v>81</v>
      </c>
      <c r="F205" s="99"/>
      <c r="G205" s="100"/>
      <c r="H205" s="100"/>
      <c r="I205" s="100"/>
      <c r="J205" s="100"/>
      <c r="K205" s="100"/>
      <c r="L205" s="100"/>
      <c r="M205" s="100"/>
      <c r="N205" s="100"/>
      <c r="O205" s="100"/>
      <c r="P205" s="100"/>
      <c r="Q205" s="100"/>
      <c r="R205" s="100"/>
      <c r="S205" s="100"/>
      <c r="T205" s="100"/>
      <c r="U205" s="100"/>
      <c r="V205" s="100"/>
      <c r="W205" s="100"/>
      <c r="X205" s="100"/>
      <c r="Y205" s="100"/>
      <c r="Z205" s="6"/>
    </row>
    <row r="206" ht="48.0" customHeight="1">
      <c r="A206" s="51" t="s">
        <v>562</v>
      </c>
      <c r="B206" s="62" t="s">
        <v>563</v>
      </c>
      <c r="C206" s="90"/>
      <c r="D206" s="14"/>
      <c r="E206" s="65" t="s">
        <v>564</v>
      </c>
      <c r="F206" s="99"/>
      <c r="G206" s="100"/>
      <c r="H206" s="100"/>
      <c r="I206" s="100"/>
      <c r="J206" s="100"/>
      <c r="K206" s="100"/>
      <c r="L206" s="100"/>
      <c r="M206" s="100"/>
      <c r="N206" s="100"/>
      <c r="O206" s="100"/>
      <c r="P206" s="100"/>
      <c r="Q206" s="100"/>
      <c r="R206" s="100"/>
      <c r="S206" s="100"/>
      <c r="T206" s="100"/>
      <c r="U206" s="100"/>
      <c r="V206" s="100"/>
      <c r="W206" s="100"/>
      <c r="X206" s="100"/>
      <c r="Y206" s="100"/>
      <c r="Z206" s="6"/>
    </row>
    <row r="207" ht="46.5" customHeight="1">
      <c r="A207" s="51" t="s">
        <v>565</v>
      </c>
      <c r="B207" s="62" t="s">
        <v>566</v>
      </c>
      <c r="C207" s="110"/>
      <c r="D207" s="14"/>
      <c r="E207" s="65" t="s">
        <v>567</v>
      </c>
      <c r="F207" s="99"/>
      <c r="G207" s="100"/>
      <c r="H207" s="100"/>
      <c r="I207" s="100"/>
      <c r="J207" s="100"/>
      <c r="K207" s="100"/>
      <c r="L207" s="100"/>
      <c r="M207" s="100"/>
      <c r="N207" s="100"/>
      <c r="O207" s="100"/>
      <c r="P207" s="100"/>
      <c r="Q207" s="100"/>
      <c r="R207" s="100"/>
      <c r="S207" s="100"/>
      <c r="T207" s="100"/>
      <c r="U207" s="100"/>
      <c r="V207" s="100"/>
      <c r="W207" s="100"/>
      <c r="X207" s="100"/>
      <c r="Y207" s="100"/>
      <c r="Z207" s="6"/>
    </row>
    <row r="208" ht="48.0" customHeight="1">
      <c r="A208" s="51" t="s">
        <v>568</v>
      </c>
      <c r="B208" s="62" t="s">
        <v>569</v>
      </c>
      <c r="C208" s="66"/>
      <c r="D208" s="77"/>
      <c r="E208" s="65" t="str">
        <f>IF(C208="","",IF(C208="Yes","State the application title as listed within the trusted source.","Decribe how the application is distributed. Also, state any plans to publish the app to a trusted source."))</f>
        <v/>
      </c>
      <c r="F208" s="99"/>
      <c r="G208" s="100"/>
      <c r="H208" s="100"/>
      <c r="I208" s="100"/>
      <c r="J208" s="100"/>
      <c r="K208" s="100"/>
      <c r="L208" s="100"/>
      <c r="M208" s="100"/>
      <c r="N208" s="100"/>
      <c r="O208" s="100"/>
      <c r="P208" s="100"/>
      <c r="Q208" s="100"/>
      <c r="R208" s="100"/>
      <c r="S208" s="100"/>
      <c r="T208" s="100"/>
      <c r="U208" s="100"/>
      <c r="V208" s="100"/>
      <c r="W208" s="100"/>
      <c r="X208" s="100"/>
      <c r="Y208" s="100"/>
      <c r="Z208" s="6"/>
    </row>
    <row r="209" ht="48.0" customHeight="1">
      <c r="A209" s="51" t="s">
        <v>570</v>
      </c>
      <c r="B209" s="62" t="s">
        <v>571</v>
      </c>
      <c r="C209" s="66"/>
      <c r="D209" s="77"/>
      <c r="E209" s="65" t="str">
        <f>IF(C209="","",IF(C209="Yes","Provide a detailed summary for your response.",""))</f>
        <v/>
      </c>
      <c r="F209" s="99"/>
      <c r="G209" s="100"/>
      <c r="H209" s="100"/>
      <c r="I209" s="100"/>
      <c r="J209" s="100"/>
      <c r="K209" s="100"/>
      <c r="L209" s="100"/>
      <c r="M209" s="100"/>
      <c r="N209" s="100"/>
      <c r="O209" s="100"/>
      <c r="P209" s="100"/>
      <c r="Q209" s="100"/>
      <c r="R209" s="100"/>
      <c r="S209" s="100"/>
      <c r="T209" s="100"/>
      <c r="U209" s="100"/>
      <c r="V209" s="100"/>
      <c r="W209" s="100"/>
      <c r="X209" s="100"/>
      <c r="Y209" s="100"/>
      <c r="Z209" s="6"/>
    </row>
    <row r="210" ht="48.0" customHeight="1">
      <c r="A210" s="51" t="s">
        <v>572</v>
      </c>
      <c r="B210" s="62" t="s">
        <v>573</v>
      </c>
      <c r="C210" s="66"/>
      <c r="D210" s="77"/>
      <c r="E210" s="65" t="str">
        <f>IF(C210="","",IF(C210="Yes","Describe how data is encrypted in transport. (i.e. from system to app)","Summarize why data is not encrypted in transport. (i.e. from system to app)"))</f>
        <v/>
      </c>
      <c r="F210" s="99"/>
      <c r="G210" s="100"/>
      <c r="H210" s="100"/>
      <c r="I210" s="100"/>
      <c r="J210" s="100"/>
      <c r="K210" s="100"/>
      <c r="L210" s="100"/>
      <c r="M210" s="100"/>
      <c r="N210" s="100"/>
      <c r="O210" s="100"/>
      <c r="P210" s="100"/>
      <c r="Q210" s="100"/>
      <c r="R210" s="100"/>
      <c r="S210" s="100"/>
      <c r="T210" s="100"/>
      <c r="U210" s="100"/>
      <c r="V210" s="100"/>
      <c r="W210" s="100"/>
      <c r="X210" s="100"/>
      <c r="Y210" s="100"/>
      <c r="Z210" s="6"/>
    </row>
    <row r="211" ht="48.0" customHeight="1">
      <c r="A211" s="51" t="s">
        <v>574</v>
      </c>
      <c r="B211" s="62" t="s">
        <v>575</v>
      </c>
      <c r="C211" s="66"/>
      <c r="D211" s="77"/>
      <c r="E211" s="65" t="str">
        <f>IF(C211="","",IF(C211="Yes","Describe how data is encrypted in storage. (i.e. at-rest within the app)","Summarize why data is not encrypted in storage. (i.e. at-rest within the app)"))</f>
        <v/>
      </c>
      <c r="F211" s="99"/>
      <c r="G211" s="100"/>
      <c r="H211" s="100"/>
      <c r="I211" s="100"/>
      <c r="J211" s="100"/>
      <c r="K211" s="100"/>
      <c r="L211" s="100"/>
      <c r="M211" s="100"/>
      <c r="N211" s="100"/>
      <c r="O211" s="100"/>
      <c r="P211" s="100"/>
      <c r="Q211" s="100"/>
      <c r="R211" s="100"/>
      <c r="S211" s="100"/>
      <c r="T211" s="100"/>
      <c r="U211" s="100"/>
      <c r="V211" s="100"/>
      <c r="W211" s="100"/>
      <c r="X211" s="100"/>
      <c r="Y211" s="100"/>
      <c r="Z211" s="6"/>
    </row>
    <row r="212" ht="48.0" customHeight="1">
      <c r="A212" s="51" t="s">
        <v>576</v>
      </c>
      <c r="B212" s="62" t="s">
        <v>577</v>
      </c>
      <c r="C212" s="66"/>
      <c r="D212" s="77"/>
      <c r="E212" s="65" t="str">
        <f>IF(C212="","",IF(C212="Yes","Summarize your system authentication capabilities.","State any plans to support these authentication systems."))</f>
        <v/>
      </c>
      <c r="F212" s="99"/>
      <c r="G212" s="100"/>
      <c r="H212" s="100"/>
      <c r="I212" s="100"/>
      <c r="J212" s="100"/>
      <c r="K212" s="100"/>
      <c r="L212" s="100"/>
      <c r="M212" s="100"/>
      <c r="N212" s="100"/>
      <c r="O212" s="100"/>
      <c r="P212" s="100"/>
      <c r="Q212" s="100"/>
      <c r="R212" s="100"/>
      <c r="S212" s="100"/>
      <c r="T212" s="100"/>
      <c r="U212" s="100"/>
      <c r="V212" s="100"/>
      <c r="W212" s="100"/>
      <c r="X212" s="100"/>
      <c r="Y212" s="100"/>
      <c r="Z212" s="6"/>
    </row>
    <row r="213" ht="48.0" customHeight="1">
      <c r="A213" s="51" t="s">
        <v>578</v>
      </c>
      <c r="B213" s="62" t="s">
        <v>579</v>
      </c>
      <c r="C213" s="66"/>
      <c r="D213" s="77"/>
      <c r="E213" s="65" t="str">
        <f>IF(C213="","",IF(C213="Yes","Summarize any requirements for the Institution to take advantage of these capabilities.",""))</f>
        <v/>
      </c>
      <c r="F213" s="99"/>
      <c r="G213" s="100"/>
      <c r="H213" s="100"/>
      <c r="I213" s="100"/>
      <c r="J213" s="100"/>
      <c r="K213" s="100"/>
      <c r="L213" s="100"/>
      <c r="M213" s="100"/>
      <c r="N213" s="100"/>
      <c r="O213" s="100"/>
      <c r="P213" s="100"/>
      <c r="Q213" s="100"/>
      <c r="R213" s="100"/>
      <c r="S213" s="100"/>
      <c r="T213" s="100"/>
      <c r="U213" s="100"/>
      <c r="V213" s="100"/>
      <c r="W213" s="100"/>
      <c r="X213" s="100"/>
      <c r="Y213" s="100"/>
      <c r="Z213" s="6"/>
    </row>
    <row r="214" ht="48.0" customHeight="1">
      <c r="A214" s="51" t="s">
        <v>580</v>
      </c>
      <c r="B214" s="62" t="s">
        <v>581</v>
      </c>
      <c r="C214" s="66"/>
      <c r="D214" s="77"/>
      <c r="E214" s="65" t="str">
        <f>IF(C214="","",IF(C214="Yes","Summarize your secure coding practices.","State plans to update your application to adhere to industry secure coding practices."))</f>
        <v/>
      </c>
      <c r="F214" s="99"/>
      <c r="G214" s="100"/>
      <c r="H214" s="100"/>
      <c r="I214" s="100"/>
      <c r="J214" s="100"/>
      <c r="K214" s="100"/>
      <c r="L214" s="100"/>
      <c r="M214" s="100"/>
      <c r="N214" s="100"/>
      <c r="O214" s="100"/>
      <c r="P214" s="100"/>
      <c r="Q214" s="100"/>
      <c r="R214" s="100"/>
      <c r="S214" s="100"/>
      <c r="T214" s="100"/>
      <c r="U214" s="100"/>
      <c r="V214" s="100"/>
      <c r="W214" s="100"/>
      <c r="X214" s="100"/>
      <c r="Y214" s="100"/>
      <c r="Z214" s="6"/>
    </row>
    <row r="215" ht="48.0" customHeight="1">
      <c r="A215" s="51" t="s">
        <v>582</v>
      </c>
      <c r="B215" s="62" t="s">
        <v>583</v>
      </c>
      <c r="C215" s="66"/>
      <c r="D215" s="77"/>
      <c r="E215" s="65" t="str">
        <f>IF(C215="","",IF(C215="Yes","State the party that performed the test and the date it was conducted. Provide test results and mitigation plans, if any.","Describe any plans to implement mobile application vulnerability testing."))</f>
        <v/>
      </c>
      <c r="F215" s="99"/>
      <c r="G215" s="100"/>
      <c r="H215" s="100"/>
      <c r="I215" s="100"/>
      <c r="J215" s="100"/>
      <c r="K215" s="100"/>
      <c r="L215" s="100"/>
      <c r="M215" s="100"/>
      <c r="N215" s="100"/>
      <c r="O215" s="100"/>
      <c r="P215" s="100"/>
      <c r="Q215" s="100"/>
      <c r="R215" s="100"/>
      <c r="S215" s="100"/>
      <c r="T215" s="100"/>
      <c r="U215" s="100"/>
      <c r="V215" s="100"/>
      <c r="W215" s="100"/>
      <c r="X215" s="100"/>
      <c r="Y215" s="100"/>
      <c r="Z215" s="6"/>
    </row>
    <row r="216" ht="48.0" customHeight="1">
      <c r="A216" s="51" t="s">
        <v>584</v>
      </c>
      <c r="B216" s="62" t="s">
        <v>585</v>
      </c>
      <c r="C216" s="111"/>
      <c r="D216" s="14"/>
      <c r="E216" s="65" t="s">
        <v>586</v>
      </c>
      <c r="F216" s="99"/>
      <c r="G216" s="100"/>
      <c r="H216" s="100"/>
      <c r="I216" s="100"/>
      <c r="J216" s="100"/>
      <c r="K216" s="100"/>
      <c r="L216" s="100"/>
      <c r="M216" s="100"/>
      <c r="N216" s="100"/>
      <c r="O216" s="100"/>
      <c r="P216" s="100"/>
      <c r="Q216" s="100"/>
      <c r="R216" s="100"/>
      <c r="S216" s="100"/>
      <c r="T216" s="100"/>
      <c r="U216" s="100"/>
      <c r="V216" s="100"/>
      <c r="W216" s="100"/>
      <c r="X216" s="100"/>
      <c r="Y216" s="100"/>
      <c r="Z216" s="6"/>
    </row>
    <row r="217" ht="36.0" customHeight="1">
      <c r="A217" s="45" t="str">
        <f>IF($C$30="","Physical Security",IF($C$30="Yes","Physical Security - Optional based on QUALIFIER response.","Physical Security"))</f>
        <v>Physical Security</v>
      </c>
      <c r="B217" s="14"/>
      <c r="C217" s="60" t="s">
        <v>79</v>
      </c>
      <c r="D217" s="60" t="s">
        <v>80</v>
      </c>
      <c r="E217" s="61" t="s">
        <v>81</v>
      </c>
      <c r="F217" s="99"/>
      <c r="G217" s="100"/>
      <c r="H217" s="100"/>
      <c r="I217" s="100"/>
      <c r="J217" s="100"/>
      <c r="K217" s="100"/>
      <c r="L217" s="100"/>
      <c r="M217" s="100"/>
      <c r="N217" s="100"/>
      <c r="O217" s="100"/>
      <c r="P217" s="100"/>
      <c r="Q217" s="100"/>
      <c r="R217" s="100"/>
      <c r="S217" s="100"/>
      <c r="T217" s="100"/>
      <c r="U217" s="100"/>
      <c r="V217" s="100"/>
      <c r="W217" s="100"/>
      <c r="X217" s="100"/>
      <c r="Y217" s="100"/>
      <c r="Z217" s="6"/>
    </row>
    <row r="218" ht="46.5" customHeight="1">
      <c r="A218" s="51" t="s">
        <v>587</v>
      </c>
      <c r="B218" s="62" t="s">
        <v>588</v>
      </c>
      <c r="C218" s="101" t="s">
        <v>85</v>
      </c>
      <c r="D218" s="101" t="s">
        <v>589</v>
      </c>
      <c r="E218" s="65" t="str">
        <f>IF(C218="","",IF(C218="Yes","Provide a copy of your physical security controls and policies along with this document (link or attached).","Describe your intent to implement physical security controls and policies."))</f>
        <v>Describe your intent to implement physical security controls and policies.</v>
      </c>
      <c r="F218" s="99"/>
      <c r="G218" s="100"/>
      <c r="H218" s="100"/>
      <c r="I218" s="100"/>
      <c r="J218" s="100"/>
      <c r="K218" s="100"/>
      <c r="L218" s="100"/>
      <c r="M218" s="100"/>
      <c r="N218" s="100"/>
      <c r="O218" s="100"/>
      <c r="P218" s="100"/>
      <c r="Q218" s="100"/>
      <c r="R218" s="100"/>
      <c r="S218" s="100"/>
      <c r="T218" s="100"/>
      <c r="U218" s="100"/>
      <c r="V218" s="100"/>
      <c r="W218" s="100"/>
      <c r="X218" s="100"/>
      <c r="Y218" s="100"/>
      <c r="Z218" s="6"/>
    </row>
    <row r="219" ht="48.0" customHeight="1">
      <c r="A219" s="51" t="s">
        <v>590</v>
      </c>
      <c r="B219" s="62" t="s">
        <v>591</v>
      </c>
      <c r="C219" s="101" t="s">
        <v>85</v>
      </c>
      <c r="D219" s="92" t="s">
        <v>592</v>
      </c>
      <c r="E219" s="65" t="str">
        <f>IF(C219="","",IF(C219="Yes","Provide a detailed summary outlining the security controls implemented to protect the Institution's data.",""))</f>
        <v/>
      </c>
      <c r="F219" s="99"/>
      <c r="G219" s="100"/>
      <c r="H219" s="100"/>
      <c r="I219" s="100"/>
      <c r="J219" s="100"/>
      <c r="K219" s="100"/>
      <c r="L219" s="100"/>
      <c r="M219" s="100"/>
      <c r="N219" s="100"/>
      <c r="O219" s="100"/>
      <c r="P219" s="100"/>
      <c r="Q219" s="100"/>
      <c r="R219" s="100"/>
      <c r="S219" s="100"/>
      <c r="T219" s="100"/>
      <c r="U219" s="100"/>
      <c r="V219" s="100"/>
      <c r="W219" s="100"/>
      <c r="X219" s="100"/>
      <c r="Y219" s="100"/>
      <c r="Z219" s="6"/>
    </row>
    <row r="220" ht="48.0" customHeight="1">
      <c r="A220" s="51" t="s">
        <v>593</v>
      </c>
      <c r="B220" s="62" t="s">
        <v>594</v>
      </c>
      <c r="C220" s="101" t="s">
        <v>85</v>
      </c>
      <c r="D220" s="77"/>
      <c r="E220" s="65" t="str">
        <f>IF(C220="","",IF(C220="Yes","State the retention period for security video.","State your plans to retain video monitoring feeds."))</f>
        <v>State your plans to retain video monitoring feeds.</v>
      </c>
      <c r="F220" s="99"/>
      <c r="G220" s="100"/>
      <c r="H220" s="100"/>
      <c r="I220" s="100"/>
      <c r="J220" s="100"/>
      <c r="K220" s="100"/>
      <c r="L220" s="100"/>
      <c r="M220" s="100"/>
      <c r="N220" s="100"/>
      <c r="O220" s="100"/>
      <c r="P220" s="100"/>
      <c r="Q220" s="100"/>
      <c r="R220" s="100"/>
      <c r="S220" s="100"/>
      <c r="T220" s="100"/>
      <c r="U220" s="100"/>
      <c r="V220" s="100"/>
      <c r="W220" s="100"/>
      <c r="X220" s="100"/>
      <c r="Y220" s="100"/>
      <c r="Z220" s="6"/>
    </row>
    <row r="221" ht="48.0" customHeight="1">
      <c r="A221" s="51" t="s">
        <v>595</v>
      </c>
      <c r="B221" s="62" t="s">
        <v>596</v>
      </c>
      <c r="C221" s="101" t="s">
        <v>85</v>
      </c>
      <c r="D221" s="77"/>
      <c r="E221" s="65" t="str">
        <f>IF(C221="","",IF(C221="Yes","Summarize your video monitoring strategy for datacenter staff.","Describe plans to have video feed(s) monitored."))</f>
        <v>Describe plans to have video feed(s) monitored.</v>
      </c>
      <c r="F221" s="99"/>
      <c r="G221" s="100"/>
      <c r="H221" s="100"/>
      <c r="I221" s="100"/>
      <c r="J221" s="100"/>
      <c r="K221" s="100"/>
      <c r="L221" s="100"/>
      <c r="M221" s="100"/>
      <c r="N221" s="100"/>
      <c r="O221" s="100"/>
      <c r="P221" s="100"/>
      <c r="Q221" s="100"/>
      <c r="R221" s="100"/>
      <c r="S221" s="100"/>
      <c r="T221" s="100"/>
      <c r="U221" s="100"/>
      <c r="V221" s="100"/>
      <c r="W221" s="100"/>
      <c r="X221" s="100"/>
      <c r="Y221" s="100"/>
      <c r="Z221" s="6"/>
    </row>
    <row r="222" ht="48.0" customHeight="1">
      <c r="A222" s="51" t="s">
        <v>597</v>
      </c>
      <c r="B222" s="62" t="s">
        <v>598</v>
      </c>
      <c r="C222" s="101" t="s">
        <v>85</v>
      </c>
      <c r="D222" s="77"/>
      <c r="E222" s="65" t="str">
        <f>IF(C222="","",IF(C222="Yes","Summarize your process and procedure for the installation and removal of equipment to/from your environment.","Provide a brief summary for your response."))</f>
        <v>Provide a brief summary for your response.</v>
      </c>
      <c r="F222" s="99"/>
      <c r="G222" s="100"/>
      <c r="H222" s="100"/>
      <c r="I222" s="100"/>
      <c r="J222" s="100"/>
      <c r="K222" s="100"/>
      <c r="L222" s="100"/>
      <c r="M222" s="100"/>
      <c r="N222" s="100"/>
      <c r="O222" s="100"/>
      <c r="P222" s="100"/>
      <c r="Q222" s="100"/>
      <c r="R222" s="100"/>
      <c r="S222" s="100"/>
      <c r="T222" s="100"/>
      <c r="U222" s="100"/>
      <c r="V222" s="100"/>
      <c r="W222" s="100"/>
      <c r="X222" s="100"/>
      <c r="Y222" s="100"/>
      <c r="Z222" s="6"/>
    </row>
    <row r="223" ht="36.0" customHeight="1">
      <c r="A223" s="45" t="str">
        <f>IF($C$30="","Policies, Procedures, and Processes",IF($C$30="Yes","Pol/Pro/Proc - Optional based on QUALIFIER response.","Policies, Procedures, and Processes"))</f>
        <v>Policies, Procedures, and Processes</v>
      </c>
      <c r="B223" s="14"/>
      <c r="C223" s="60" t="s">
        <v>79</v>
      </c>
      <c r="D223" s="60" t="s">
        <v>80</v>
      </c>
      <c r="E223" s="61" t="s">
        <v>81</v>
      </c>
      <c r="F223" s="99"/>
      <c r="G223" s="100"/>
      <c r="H223" s="100"/>
      <c r="I223" s="100"/>
      <c r="J223" s="100"/>
      <c r="K223" s="100"/>
      <c r="L223" s="100"/>
      <c r="M223" s="100"/>
      <c r="N223" s="100"/>
      <c r="O223" s="100"/>
      <c r="P223" s="100"/>
      <c r="Q223" s="100"/>
      <c r="R223" s="100"/>
      <c r="S223" s="100"/>
      <c r="T223" s="100"/>
      <c r="U223" s="100"/>
      <c r="V223" s="100"/>
      <c r="W223" s="100"/>
      <c r="X223" s="100"/>
      <c r="Y223" s="100"/>
      <c r="Z223" s="6"/>
    </row>
    <row r="224" ht="82.5" customHeight="1">
      <c r="A224" s="51" t="s">
        <v>599</v>
      </c>
      <c r="B224" s="62" t="s">
        <v>600</v>
      </c>
      <c r="C224" s="101" t="s">
        <v>90</v>
      </c>
      <c r="D224" s="103" t="s">
        <v>601</v>
      </c>
      <c r="E224" s="65" t="str">
        <f>IF(C224="","",IF(C224="Yes","Provide a links to these documents in Additional Information or attach them with your submission. Include the responsible party for your information security program and the size of your security staff.","Provide a brief summary for this response."))</f>
        <v>Provide a links to these documents in Additional Information or attach them with your submission. Include the responsible party for your information security program and the size of your security staff.</v>
      </c>
      <c r="F224" s="99"/>
      <c r="G224" s="100"/>
      <c r="H224" s="100"/>
      <c r="I224" s="100"/>
      <c r="J224" s="100"/>
      <c r="K224" s="100"/>
      <c r="L224" s="100"/>
      <c r="M224" s="100"/>
      <c r="N224" s="100"/>
      <c r="O224" s="100"/>
      <c r="P224" s="100"/>
      <c r="Q224" s="100"/>
      <c r="R224" s="100"/>
      <c r="S224" s="100"/>
      <c r="T224" s="100"/>
      <c r="U224" s="100"/>
      <c r="V224" s="100"/>
      <c r="W224" s="100"/>
      <c r="X224" s="100"/>
      <c r="Y224" s="100"/>
      <c r="Z224" s="6"/>
    </row>
    <row r="225" ht="48.0" customHeight="1">
      <c r="A225" s="51" t="s">
        <v>602</v>
      </c>
      <c r="B225" s="62" t="s">
        <v>603</v>
      </c>
      <c r="C225" s="101" t="s">
        <v>90</v>
      </c>
      <c r="D225" s="103" t="s">
        <v>604</v>
      </c>
      <c r="E225" s="65" t="str">
        <f>IF(C225="","",IF(C225="Yes","Summarize your documented patch management process.","State plans to document your patch management process."))</f>
        <v>Summarize your documented patch management process.</v>
      </c>
      <c r="F225" s="99"/>
      <c r="G225" s="100"/>
      <c r="H225" s="100"/>
      <c r="I225" s="100"/>
      <c r="J225" s="100"/>
      <c r="K225" s="100"/>
      <c r="L225" s="100"/>
      <c r="M225" s="100"/>
      <c r="N225" s="100"/>
      <c r="O225" s="100"/>
      <c r="P225" s="100"/>
      <c r="Q225" s="100"/>
      <c r="R225" s="100"/>
      <c r="S225" s="100"/>
      <c r="T225" s="100"/>
      <c r="U225" s="100"/>
      <c r="V225" s="100"/>
      <c r="W225" s="100"/>
      <c r="X225" s="100"/>
      <c r="Y225" s="100"/>
      <c r="Z225" s="6"/>
    </row>
    <row r="226" ht="48.0" customHeight="1">
      <c r="A226" s="51" t="s">
        <v>605</v>
      </c>
      <c r="B226" s="62" t="s">
        <v>606</v>
      </c>
      <c r="C226" s="101" t="s">
        <v>90</v>
      </c>
      <c r="D226" s="77"/>
      <c r="E226" s="65" t="str">
        <f>IF(C226="","",IF(C226="Yes","Summarize any limitations to your accomodation capabilities.","State why you are unable to accommodate encryption requirements using open standards."))</f>
        <v>Summarize any limitations to your accomodation capabilities.</v>
      </c>
      <c r="F226" s="99"/>
      <c r="G226" s="100"/>
      <c r="H226" s="100"/>
      <c r="I226" s="100"/>
      <c r="J226" s="100"/>
      <c r="K226" s="100"/>
      <c r="L226" s="100"/>
      <c r="M226" s="100"/>
      <c r="N226" s="100"/>
      <c r="O226" s="100"/>
      <c r="P226" s="100"/>
      <c r="Q226" s="100"/>
      <c r="R226" s="100"/>
      <c r="S226" s="100"/>
      <c r="T226" s="100"/>
      <c r="U226" s="100"/>
      <c r="V226" s="100"/>
      <c r="W226" s="100"/>
      <c r="X226" s="100"/>
      <c r="Y226" s="100"/>
      <c r="Z226" s="6"/>
    </row>
    <row r="227" ht="48.0" customHeight="1">
      <c r="A227" s="51" t="s">
        <v>607</v>
      </c>
      <c r="B227" s="62" t="s">
        <v>608</v>
      </c>
      <c r="C227" s="101" t="s">
        <v>90</v>
      </c>
      <c r="D227" s="77"/>
      <c r="E227" s="65" t="str">
        <f>IF(C227="","",IF(C227="Yes","Provide a brief description of the training provided.","State any scheduled training sessions focused on secure coding techniques."))</f>
        <v>Provide a brief description of the training provided.</v>
      </c>
      <c r="F227" s="99"/>
      <c r="G227" s="100"/>
      <c r="H227" s="100"/>
      <c r="I227" s="100"/>
      <c r="J227" s="100"/>
      <c r="K227" s="100"/>
      <c r="L227" s="100"/>
      <c r="M227" s="100"/>
      <c r="N227" s="100"/>
      <c r="O227" s="100"/>
      <c r="P227" s="100"/>
      <c r="Q227" s="100"/>
      <c r="R227" s="100"/>
      <c r="S227" s="100"/>
      <c r="T227" s="100"/>
      <c r="U227" s="100"/>
      <c r="V227" s="100"/>
      <c r="W227" s="100"/>
      <c r="X227" s="100"/>
      <c r="Y227" s="100"/>
      <c r="Z227" s="6"/>
    </row>
    <row r="228" ht="48.0" customHeight="1">
      <c r="A228" s="51" t="s">
        <v>609</v>
      </c>
      <c r="B228" s="62" t="s">
        <v>610</v>
      </c>
      <c r="C228" s="101" t="s">
        <v>90</v>
      </c>
      <c r="D228" s="77"/>
      <c r="E228" s="65" t="str">
        <f>IF(C228="","",IF(C228="Yes","Describe the secure coding techniques used to develop your application.","State plans to update your application code using secure coding techniques."))</f>
        <v>Describe the secure coding techniques used to develop your application.</v>
      </c>
      <c r="F228" s="99"/>
      <c r="G228" s="100"/>
      <c r="H228" s="100"/>
      <c r="I228" s="100"/>
      <c r="J228" s="100"/>
      <c r="K228" s="100"/>
      <c r="L228" s="100"/>
      <c r="M228" s="100"/>
      <c r="N228" s="100"/>
      <c r="O228" s="100"/>
      <c r="P228" s="100"/>
      <c r="Q228" s="100"/>
      <c r="R228" s="100"/>
      <c r="S228" s="100"/>
      <c r="T228" s="100"/>
      <c r="U228" s="100"/>
      <c r="V228" s="100"/>
      <c r="W228" s="100"/>
      <c r="X228" s="100"/>
      <c r="Y228" s="100"/>
      <c r="Z228" s="6"/>
    </row>
    <row r="229" ht="48.0" customHeight="1">
      <c r="A229" s="51" t="s">
        <v>611</v>
      </c>
      <c r="B229" s="62" t="s">
        <v>612</v>
      </c>
      <c r="C229" s="101" t="s">
        <v>90</v>
      </c>
      <c r="D229" s="92" t="s">
        <v>613</v>
      </c>
      <c r="E229" s="65" t="str">
        <f>IF(C229="","",IF(C229="Yes","Provide a list of all tools utilized during static code analysis or static application security testing.","State your plans to implement static code testing practices into your environment."))</f>
        <v>Provide a list of all tools utilized during static code analysis or static application security testing.</v>
      </c>
      <c r="F229" s="99"/>
      <c r="G229" s="100"/>
      <c r="H229" s="100"/>
      <c r="I229" s="100"/>
      <c r="J229" s="100"/>
      <c r="K229" s="100"/>
      <c r="L229" s="100"/>
      <c r="M229" s="100"/>
      <c r="N229" s="100"/>
      <c r="O229" s="100"/>
      <c r="P229" s="100"/>
      <c r="Q229" s="100"/>
      <c r="R229" s="100"/>
      <c r="S229" s="100"/>
      <c r="T229" s="100"/>
      <c r="U229" s="100"/>
      <c r="V229" s="100"/>
      <c r="W229" s="100"/>
      <c r="X229" s="100"/>
      <c r="Y229" s="100"/>
      <c r="Z229" s="6"/>
    </row>
    <row r="230" ht="84.0" customHeight="1">
      <c r="A230" s="51" t="s">
        <v>614</v>
      </c>
      <c r="B230" s="62" t="s">
        <v>615</v>
      </c>
      <c r="C230" s="101" t="s">
        <v>90</v>
      </c>
      <c r="D230" s="92" t="s">
        <v>616</v>
      </c>
      <c r="E230" s="65" t="str">
        <f>IF(C230="","",IF(C230="Yes","Describe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Describe testing processes, including but not limited to, development of test plans, personnel involved in the testing process, and authorized individual accountable for approval and certification of test results.</v>
      </c>
      <c r="F230" s="99"/>
      <c r="G230" s="100"/>
      <c r="H230" s="100"/>
      <c r="I230" s="100"/>
      <c r="J230" s="100"/>
      <c r="K230" s="100"/>
      <c r="L230" s="100"/>
      <c r="M230" s="100"/>
      <c r="N230" s="100"/>
      <c r="O230" s="100"/>
      <c r="P230" s="100"/>
      <c r="Q230" s="100"/>
      <c r="R230" s="100"/>
      <c r="S230" s="100"/>
      <c r="T230" s="100"/>
      <c r="U230" s="100"/>
      <c r="V230" s="100"/>
      <c r="W230" s="100"/>
      <c r="X230" s="100"/>
      <c r="Y230" s="100"/>
      <c r="Z230" s="6"/>
    </row>
    <row r="231" ht="48.0" customHeight="1">
      <c r="A231" s="51" t="s">
        <v>617</v>
      </c>
      <c r="B231" s="62" t="s">
        <v>618</v>
      </c>
      <c r="C231" s="101" t="s">
        <v>90</v>
      </c>
      <c r="D231" s="92" t="s">
        <v>619</v>
      </c>
      <c r="E231" s="65" t="str">
        <f>IF(C231="","",IF(C231="Yes","Summarize the information security principles designed into the product lifecycle.","Describe why security principles are not designed into the product lifecycle."))</f>
        <v>Summarize the information security principles designed into the product lifecycle.</v>
      </c>
      <c r="F231" s="99"/>
      <c r="G231" s="100"/>
      <c r="H231" s="100"/>
      <c r="I231" s="100"/>
      <c r="J231" s="100"/>
      <c r="K231" s="100"/>
      <c r="L231" s="100"/>
      <c r="M231" s="100"/>
      <c r="N231" s="100"/>
      <c r="O231" s="100"/>
      <c r="P231" s="100"/>
      <c r="Q231" s="100"/>
      <c r="R231" s="100"/>
      <c r="S231" s="100"/>
      <c r="T231" s="100"/>
      <c r="U231" s="100"/>
      <c r="V231" s="100"/>
      <c r="W231" s="100"/>
      <c r="X231" s="100"/>
      <c r="Y231" s="100"/>
      <c r="Z231" s="6"/>
    </row>
    <row r="232" ht="96.0" customHeight="1">
      <c r="A232" s="51" t="s">
        <v>620</v>
      </c>
      <c r="B232" s="62" t="s">
        <v>621</v>
      </c>
      <c r="C232" s="101" t="s">
        <v>90</v>
      </c>
      <c r="D232" s="105" t="s">
        <v>622</v>
      </c>
      <c r="E232" s="65" t="str">
        <f>IF(C232="","",IF(C232="Yes","Describe or provide a reference to your system development life cycle methodology including your environments, version control, and change management (if not already covered in the Change Management section).","Describe any plans to implement a documented SDLC."))</f>
        <v>Describe or provide a reference to your system development life cycle methodology including your environments, version control, and change management (if not already covered in the Change Management section).</v>
      </c>
      <c r="F232" s="99"/>
      <c r="G232" s="100"/>
      <c r="H232" s="100"/>
      <c r="I232" s="100"/>
      <c r="J232" s="100"/>
      <c r="K232" s="100"/>
      <c r="L232" s="100"/>
      <c r="M232" s="100"/>
      <c r="N232" s="100"/>
      <c r="O232" s="100"/>
      <c r="P232" s="100"/>
      <c r="Q232" s="100"/>
      <c r="R232" s="100"/>
      <c r="S232" s="100"/>
      <c r="T232" s="100"/>
      <c r="U232" s="100"/>
      <c r="V232" s="100"/>
      <c r="W232" s="100"/>
      <c r="X232" s="100"/>
      <c r="Y232" s="100"/>
      <c r="Z232" s="6"/>
    </row>
    <row r="233" ht="48.0" customHeight="1">
      <c r="A233" s="51" t="s">
        <v>623</v>
      </c>
      <c r="B233" s="62" t="s">
        <v>624</v>
      </c>
      <c r="C233" s="101" t="s">
        <v>90</v>
      </c>
      <c r="D233" s="112" t="s">
        <v>625</v>
      </c>
      <c r="E233" s="65" t="str">
        <f>IF(C233="","",IF(C233="Yes","Summarize your formal incident response plan.","State plans to formalize an incident response plan."))</f>
        <v>Summarize your formal incident response plan.</v>
      </c>
      <c r="F233" s="99"/>
      <c r="G233" s="100"/>
      <c r="H233" s="100"/>
      <c r="I233" s="100"/>
      <c r="J233" s="100"/>
      <c r="K233" s="100"/>
      <c r="L233" s="100"/>
      <c r="M233" s="100"/>
      <c r="N233" s="100"/>
      <c r="O233" s="100"/>
      <c r="P233" s="100"/>
      <c r="Q233" s="100"/>
      <c r="R233" s="100"/>
      <c r="S233" s="100"/>
      <c r="T233" s="100"/>
      <c r="U233" s="100"/>
      <c r="V233" s="100"/>
      <c r="W233" s="100"/>
      <c r="X233" s="100"/>
      <c r="Y233" s="100"/>
      <c r="Z233" s="6"/>
    </row>
    <row r="234" ht="48.0" customHeight="1">
      <c r="A234" s="51" t="s">
        <v>626</v>
      </c>
      <c r="B234" s="62" t="s">
        <v>627</v>
      </c>
      <c r="C234" s="101" t="s">
        <v>90</v>
      </c>
      <c r="D234" s="77"/>
      <c r="E234" s="65" t="str">
        <f>IF(C234="","",IF(C234="Yes","State how quickly the Institution will be notified of a data breach or security incident.","Summarize why you will not comple with applicable breach notification laws."))</f>
        <v>State how quickly the Institution will be notified of a data breach or security incident.</v>
      </c>
      <c r="F234" s="99"/>
      <c r="G234" s="100"/>
      <c r="H234" s="100"/>
      <c r="I234" s="100"/>
      <c r="J234" s="100"/>
      <c r="K234" s="100"/>
      <c r="L234" s="100"/>
      <c r="M234" s="100"/>
      <c r="N234" s="100"/>
      <c r="O234" s="100"/>
      <c r="P234" s="100"/>
      <c r="Q234" s="100"/>
      <c r="R234" s="100"/>
      <c r="S234" s="100"/>
      <c r="T234" s="100"/>
      <c r="U234" s="100"/>
      <c r="V234" s="100"/>
      <c r="W234" s="100"/>
      <c r="X234" s="100"/>
      <c r="Y234" s="100"/>
      <c r="Z234" s="6"/>
    </row>
    <row r="235" ht="48.0" customHeight="1">
      <c r="A235" s="51" t="s">
        <v>628</v>
      </c>
      <c r="B235" s="62" t="s">
        <v>629</v>
      </c>
      <c r="C235" s="101" t="s">
        <v>90</v>
      </c>
      <c r="D235" s="77"/>
      <c r="E235" s="65" t="str">
        <f>IF(C235="","",IF(C235="Yes","State that you have reviewed the Institution's IT policies with regards to user privacy and data protection.","Summarize why you will not comply with the Institution's IT policy with regards to user privacy and data protection."))</f>
        <v>State that you have reviewed the Institution's IT policies with regards to user privacy and data protection.</v>
      </c>
      <c r="F235" s="99"/>
      <c r="G235" s="100"/>
      <c r="H235" s="100"/>
      <c r="I235" s="100"/>
      <c r="J235" s="100"/>
      <c r="K235" s="100"/>
      <c r="L235" s="100"/>
      <c r="M235" s="100"/>
      <c r="N235" s="100"/>
      <c r="O235" s="100"/>
      <c r="P235" s="100"/>
      <c r="Q235" s="100"/>
      <c r="R235" s="100"/>
      <c r="S235" s="100"/>
      <c r="T235" s="100"/>
      <c r="U235" s="100"/>
      <c r="V235" s="100"/>
      <c r="W235" s="100"/>
      <c r="X235" s="100"/>
      <c r="Y235" s="100"/>
      <c r="Z235" s="6"/>
    </row>
    <row r="236" ht="48.0" customHeight="1">
      <c r="A236" s="51" t="s">
        <v>630</v>
      </c>
      <c r="B236" s="62" t="s">
        <v>631</v>
      </c>
      <c r="C236" s="101" t="s">
        <v>90</v>
      </c>
      <c r="D236" s="77"/>
      <c r="E236" s="65" t="str">
        <f>IF(C236="","",IF(C236="Yes","","State the country that governs and regulates your company."))</f>
        <v/>
      </c>
      <c r="F236" s="99"/>
      <c r="G236" s="100"/>
      <c r="H236" s="100"/>
      <c r="I236" s="100"/>
      <c r="J236" s="100"/>
      <c r="K236" s="100"/>
      <c r="L236" s="100"/>
      <c r="M236" s="100"/>
      <c r="N236" s="100"/>
      <c r="O236" s="100"/>
      <c r="P236" s="100"/>
      <c r="Q236" s="100"/>
      <c r="R236" s="100"/>
      <c r="S236" s="100"/>
      <c r="T236" s="100"/>
      <c r="U236" s="100"/>
      <c r="V236" s="100"/>
      <c r="W236" s="100"/>
      <c r="X236" s="100"/>
      <c r="Y236" s="100"/>
      <c r="Z236" s="6"/>
    </row>
    <row r="237" ht="48.0" customHeight="1">
      <c r="A237" s="51" t="s">
        <v>632</v>
      </c>
      <c r="B237" s="62" t="s">
        <v>633</v>
      </c>
      <c r="C237" s="101" t="s">
        <v>90</v>
      </c>
      <c r="D237" s="77"/>
      <c r="E237" s="65" t="str">
        <f>IF(C237="","",IF(C237="Yes","Summarize your background check practices.","State plans to implement background check elements into your hiring process."))</f>
        <v>Summarize your background check practices.</v>
      </c>
      <c r="F237" s="99"/>
      <c r="G237" s="100"/>
      <c r="H237" s="100"/>
      <c r="I237" s="100"/>
      <c r="J237" s="100"/>
      <c r="K237" s="100"/>
      <c r="L237" s="100"/>
      <c r="M237" s="100"/>
      <c r="N237" s="100"/>
      <c r="O237" s="100"/>
      <c r="P237" s="100"/>
      <c r="Q237" s="100"/>
      <c r="R237" s="100"/>
      <c r="S237" s="100"/>
      <c r="T237" s="100"/>
      <c r="U237" s="100"/>
      <c r="V237" s="100"/>
      <c r="W237" s="100"/>
      <c r="X237" s="100"/>
      <c r="Y237" s="100"/>
      <c r="Z237" s="6"/>
    </row>
    <row r="238" ht="64.5" customHeight="1">
      <c r="A238" s="51" t="s">
        <v>634</v>
      </c>
      <c r="B238" s="62" t="s">
        <v>635</v>
      </c>
      <c r="C238" s="101" t="s">
        <v>90</v>
      </c>
      <c r="D238" s="77"/>
      <c r="E238" s="65" t="str">
        <f>IF(C238="","",IF(C238="Yes","Summarize the required agreements and reviewed policies.","Summarize why new employees are not required to accept agreements or review policy."))</f>
        <v>Summarize the required agreements and reviewed policies.</v>
      </c>
      <c r="F238" s="99"/>
      <c r="G238" s="100"/>
      <c r="H238" s="100"/>
      <c r="I238" s="100"/>
      <c r="J238" s="100"/>
      <c r="K238" s="100"/>
      <c r="L238" s="100"/>
      <c r="M238" s="100"/>
      <c r="N238" s="100"/>
      <c r="O238" s="100"/>
      <c r="P238" s="100"/>
      <c r="Q238" s="100"/>
      <c r="R238" s="100"/>
      <c r="S238" s="100"/>
      <c r="T238" s="100"/>
      <c r="U238" s="100"/>
      <c r="V238" s="100"/>
      <c r="W238" s="100"/>
      <c r="X238" s="100"/>
      <c r="Y238" s="100"/>
      <c r="Z238" s="6"/>
    </row>
    <row r="239" ht="48.0" customHeight="1">
      <c r="A239" s="51" t="s">
        <v>636</v>
      </c>
      <c r="B239" s="62" t="s">
        <v>637</v>
      </c>
      <c r="C239" s="101" t="s">
        <v>90</v>
      </c>
      <c r="D239" s="103" t="s">
        <v>638</v>
      </c>
      <c r="E239" s="65" t="str">
        <f>IF(C239="","",IF(C239="Yes","Provide a reference to your information security policy or submit documentation with this fully-populated HECVAT.","State plans to implement information security policy at your company."))</f>
        <v>Provide a reference to your information security policy or submit documentation with this fully-populated HECVAT.</v>
      </c>
      <c r="F239" s="99"/>
      <c r="G239" s="100"/>
      <c r="H239" s="100"/>
      <c r="I239" s="100"/>
      <c r="J239" s="100"/>
      <c r="K239" s="100"/>
      <c r="L239" s="100"/>
      <c r="M239" s="100"/>
      <c r="N239" s="100"/>
      <c r="O239" s="100"/>
      <c r="P239" s="100"/>
      <c r="Q239" s="100"/>
      <c r="R239" s="100"/>
      <c r="S239" s="100"/>
      <c r="T239" s="100"/>
      <c r="U239" s="100"/>
      <c r="V239" s="100"/>
      <c r="W239" s="100"/>
      <c r="X239" s="100"/>
      <c r="Y239" s="100"/>
      <c r="Z239" s="6"/>
    </row>
    <row r="240" ht="48.0" customHeight="1">
      <c r="A240" s="51" t="s">
        <v>639</v>
      </c>
      <c r="B240" s="62" t="s">
        <v>640</v>
      </c>
      <c r="C240" s="101" t="s">
        <v>90</v>
      </c>
      <c r="D240" s="92" t="s">
        <v>641</v>
      </c>
      <c r="E240" s="65" t="str">
        <f>IF(C240="","",IF(C240="Yes","Summarize your information security awareness program.","State plans to implement an information security awareness program."))</f>
        <v>Summarize your information security awareness program.</v>
      </c>
      <c r="F240" s="99"/>
      <c r="G240" s="100"/>
      <c r="H240" s="100"/>
      <c r="I240" s="100"/>
      <c r="J240" s="100"/>
      <c r="K240" s="100"/>
      <c r="L240" s="100"/>
      <c r="M240" s="100"/>
      <c r="N240" s="100"/>
      <c r="O240" s="100"/>
      <c r="P240" s="100"/>
      <c r="Q240" s="100"/>
      <c r="R240" s="100"/>
      <c r="S240" s="100"/>
      <c r="T240" s="100"/>
      <c r="U240" s="100"/>
      <c r="V240" s="100"/>
      <c r="W240" s="100"/>
      <c r="X240" s="100"/>
      <c r="Y240" s="100"/>
      <c r="Z240" s="6"/>
    </row>
    <row r="241" ht="63.75" customHeight="1">
      <c r="A241" s="51" t="s">
        <v>642</v>
      </c>
      <c r="B241" s="62" t="s">
        <v>643</v>
      </c>
      <c r="C241" s="101" t="s">
        <v>90</v>
      </c>
      <c r="D241" s="103" t="s">
        <v>644</v>
      </c>
      <c r="E241" s="65" t="str">
        <f>IF(C241="","",IF(C241="Yes","Summarize your security awareness training content and state how frequently employees are required to undergo security awareness training.","State plans to make security awareness training mandatory for all employees."))</f>
        <v>Summarize your security awareness training content and state how frequently employees are required to undergo security awareness training.</v>
      </c>
      <c r="F241" s="99"/>
      <c r="G241" s="100"/>
      <c r="H241" s="100"/>
      <c r="I241" s="100"/>
      <c r="J241" s="100"/>
      <c r="K241" s="100"/>
      <c r="L241" s="100"/>
      <c r="M241" s="100"/>
      <c r="N241" s="100"/>
      <c r="O241" s="100"/>
      <c r="P241" s="100"/>
      <c r="Q241" s="100"/>
      <c r="R241" s="100"/>
      <c r="S241" s="100"/>
      <c r="T241" s="100"/>
      <c r="U241" s="100"/>
      <c r="V241" s="100"/>
      <c r="W241" s="100"/>
      <c r="X241" s="100"/>
      <c r="Y241" s="100"/>
      <c r="Z241" s="6"/>
    </row>
    <row r="242" ht="48.0" customHeight="1">
      <c r="A242" s="51" t="s">
        <v>645</v>
      </c>
      <c r="B242" s="62" t="s">
        <v>646</v>
      </c>
      <c r="C242" s="101" t="s">
        <v>90</v>
      </c>
      <c r="D242" s="103" t="s">
        <v>647</v>
      </c>
      <c r="E242" s="65" t="str">
        <f>IF(C242="","",IF(C242="Yes","Provide a brief summary and the implement review interval.","Describe plans to implement privileged account access-list reviews to your environment."))</f>
        <v>Provide a brief summary and the implement review interval.</v>
      </c>
      <c r="F242" s="99"/>
      <c r="G242" s="100"/>
      <c r="H242" s="100"/>
      <c r="I242" s="100"/>
      <c r="J242" s="100"/>
      <c r="K242" s="100"/>
      <c r="L242" s="100"/>
      <c r="M242" s="100"/>
      <c r="N242" s="100"/>
      <c r="O242" s="100"/>
      <c r="P242" s="100"/>
      <c r="Q242" s="100"/>
      <c r="R242" s="100"/>
      <c r="S242" s="100"/>
      <c r="T242" s="100"/>
      <c r="U242" s="100"/>
      <c r="V242" s="100"/>
      <c r="W242" s="100"/>
      <c r="X242" s="100"/>
      <c r="Y242" s="100"/>
      <c r="Z242" s="6"/>
    </row>
    <row r="243" ht="63.75" customHeight="1">
      <c r="A243" s="51" t="s">
        <v>648</v>
      </c>
      <c r="B243" s="62" t="s">
        <v>649</v>
      </c>
      <c r="C243" s="101" t="s">
        <v>90</v>
      </c>
      <c r="D243" s="103" t="s">
        <v>650</v>
      </c>
      <c r="E243" s="65" t="str">
        <f>IF(C243="","",IF(C243="Yes","Summarize your internal audit processes and procedures.","State plans to document and implement internal audit process and procedure in your environment."))</f>
        <v>Summarize your internal audit processes and procedures.</v>
      </c>
      <c r="F243" s="99"/>
      <c r="G243" s="100"/>
      <c r="H243" s="100"/>
      <c r="I243" s="100"/>
      <c r="J243" s="100"/>
      <c r="K243" s="100"/>
      <c r="L243" s="100"/>
      <c r="M243" s="100"/>
      <c r="N243" s="100"/>
      <c r="O243" s="100"/>
      <c r="P243" s="100"/>
      <c r="Q243" s="100"/>
      <c r="R243" s="100"/>
      <c r="S243" s="100"/>
      <c r="T243" s="100"/>
      <c r="U243" s="100"/>
      <c r="V243" s="100"/>
      <c r="W243" s="100"/>
      <c r="X243" s="100"/>
      <c r="Y243" s="100"/>
      <c r="Z243" s="6"/>
    </row>
    <row r="244" ht="36.0" customHeight="1">
      <c r="A244" s="45" t="str">
        <f>IF($C$30="","Product Evaluation",IF($C$30="Yes","Product Evaluation - Optional based on QUALIFIER response.","Product Evaluation"))</f>
        <v>Product Evaluation</v>
      </c>
      <c r="B244" s="14"/>
      <c r="C244" s="60" t="s">
        <v>79</v>
      </c>
      <c r="D244" s="60" t="s">
        <v>80</v>
      </c>
      <c r="E244" s="61" t="s">
        <v>81</v>
      </c>
      <c r="F244" s="99"/>
      <c r="G244" s="100"/>
      <c r="H244" s="100"/>
      <c r="I244" s="100"/>
      <c r="J244" s="100"/>
      <c r="K244" s="100"/>
      <c r="L244" s="100"/>
      <c r="M244" s="100"/>
      <c r="N244" s="100"/>
      <c r="O244" s="100"/>
      <c r="P244" s="100"/>
      <c r="Q244" s="100"/>
      <c r="R244" s="100"/>
      <c r="S244" s="100"/>
      <c r="T244" s="100"/>
      <c r="U244" s="100"/>
      <c r="V244" s="100"/>
      <c r="W244" s="100"/>
      <c r="X244" s="100"/>
      <c r="Y244" s="100"/>
      <c r="Z244" s="6"/>
    </row>
    <row r="245" ht="48.0" customHeight="1">
      <c r="A245" s="51" t="s">
        <v>651</v>
      </c>
      <c r="B245" s="62" t="s">
        <v>652</v>
      </c>
      <c r="C245" s="101" t="s">
        <v>90</v>
      </c>
      <c r="D245" s="92" t="s">
        <v>653</v>
      </c>
      <c r="E245" s="65" t="str">
        <f>IF(C245="","",IF(C245="Yes","Provide a reference to your customer feedback procedures.","State any plans to incorporate customer feedback into security feature requests."))</f>
        <v>Provide a reference to your customer feedback procedures.</v>
      </c>
      <c r="F245" s="99"/>
      <c r="G245" s="100"/>
      <c r="H245" s="100"/>
      <c r="I245" s="100"/>
      <c r="J245" s="100"/>
      <c r="K245" s="100"/>
      <c r="L245" s="100"/>
      <c r="M245" s="100"/>
      <c r="N245" s="100"/>
      <c r="O245" s="100"/>
      <c r="P245" s="100"/>
      <c r="Q245" s="100"/>
      <c r="R245" s="100"/>
      <c r="S245" s="100"/>
      <c r="T245" s="100"/>
      <c r="U245" s="100"/>
      <c r="V245" s="100"/>
      <c r="W245" s="100"/>
      <c r="X245" s="100"/>
      <c r="Y245" s="100"/>
      <c r="Z245" s="6"/>
    </row>
    <row r="246" ht="48.0" customHeight="1">
      <c r="A246" s="51" t="s">
        <v>654</v>
      </c>
      <c r="B246" s="62" t="s">
        <v>655</v>
      </c>
      <c r="C246" s="101" t="s">
        <v>90</v>
      </c>
      <c r="D246" s="92" t="s">
        <v>656</v>
      </c>
      <c r="E246" s="65" t="str">
        <f>IF(C246="","",IF(C246="Yes","Summarize the scope of your evaluation site(s) and request procedures. Provide references, as needed.","State why an evaluation site cannot be provided to the Institution."))</f>
        <v>Summarize the scope of your evaluation site(s) and request procedures. Provide references, as needed.</v>
      </c>
      <c r="F246" s="99"/>
      <c r="G246" s="100"/>
      <c r="H246" s="100"/>
      <c r="I246" s="100"/>
      <c r="J246" s="100"/>
      <c r="K246" s="100"/>
      <c r="L246" s="100"/>
      <c r="M246" s="100"/>
      <c r="N246" s="100"/>
      <c r="O246" s="100"/>
      <c r="P246" s="100"/>
      <c r="Q246" s="100"/>
      <c r="R246" s="100"/>
      <c r="S246" s="100"/>
      <c r="T246" s="100"/>
      <c r="U246" s="100"/>
      <c r="V246" s="100"/>
      <c r="W246" s="100"/>
      <c r="X246" s="100"/>
      <c r="Y246" s="100"/>
      <c r="Z246" s="6"/>
    </row>
    <row r="247" ht="36.0" customHeight="1">
      <c r="A247" s="45" t="str">
        <f>IF($C$30="","Quality Assurance",IF($C$30="Yes","Quality Assurance - Optional based on QUALIFIER response.","Quality Assurance"))</f>
        <v>Quality Assurance</v>
      </c>
      <c r="B247" s="14"/>
      <c r="C247" s="60" t="s">
        <v>79</v>
      </c>
      <c r="D247" s="60" t="s">
        <v>80</v>
      </c>
      <c r="E247" s="61" t="s">
        <v>81</v>
      </c>
      <c r="F247" s="99"/>
      <c r="G247" s="100"/>
      <c r="H247" s="100"/>
      <c r="I247" s="100"/>
      <c r="J247" s="100"/>
      <c r="K247" s="100"/>
      <c r="L247" s="100"/>
      <c r="M247" s="100"/>
      <c r="N247" s="100"/>
      <c r="O247" s="100"/>
      <c r="P247" s="100"/>
      <c r="Q247" s="100"/>
      <c r="R247" s="100"/>
      <c r="S247" s="100"/>
      <c r="T247" s="100"/>
      <c r="U247" s="100"/>
      <c r="V247" s="100"/>
      <c r="W247" s="100"/>
      <c r="X247" s="100"/>
      <c r="Y247" s="100"/>
      <c r="Z247" s="6"/>
    </row>
    <row r="248" ht="48.0" customHeight="1">
      <c r="A248" s="51" t="s">
        <v>657</v>
      </c>
      <c r="B248" s="62" t="s">
        <v>658</v>
      </c>
      <c r="C248" s="90" t="s">
        <v>659</v>
      </c>
      <c r="D248" s="14"/>
      <c r="E248" s="65" t="s">
        <v>660</v>
      </c>
      <c r="F248" s="99"/>
      <c r="G248" s="100"/>
      <c r="H248" s="100"/>
      <c r="I248" s="100"/>
      <c r="J248" s="100"/>
      <c r="K248" s="100"/>
      <c r="L248" s="100"/>
      <c r="M248" s="100"/>
      <c r="N248" s="100"/>
      <c r="O248" s="100"/>
      <c r="P248" s="100"/>
      <c r="Q248" s="100"/>
      <c r="R248" s="100"/>
      <c r="S248" s="100"/>
      <c r="T248" s="100"/>
      <c r="U248" s="100"/>
      <c r="V248" s="100"/>
      <c r="W248" s="100"/>
      <c r="X248" s="100"/>
      <c r="Y248" s="100"/>
      <c r="Z248" s="6"/>
    </row>
    <row r="249" ht="48.0" customHeight="1">
      <c r="A249" s="51" t="s">
        <v>661</v>
      </c>
      <c r="B249" s="62" t="s">
        <v>662</v>
      </c>
      <c r="C249" s="101" t="s">
        <v>85</v>
      </c>
      <c r="D249" s="92" t="s">
        <v>663</v>
      </c>
      <c r="E249" s="65" t="str">
        <f>IF(C249="","",IF(C249="Yes","If certified, provide supporting documentation.","Describe plans and/or efforts towards certification."))</f>
        <v>Describe plans and/or efforts towards certification.</v>
      </c>
      <c r="F249" s="99"/>
      <c r="G249" s="100"/>
      <c r="H249" s="100"/>
      <c r="I249" s="100"/>
      <c r="J249" s="100"/>
      <c r="K249" s="100"/>
      <c r="L249" s="100"/>
      <c r="M249" s="100"/>
      <c r="N249" s="100"/>
      <c r="O249" s="100"/>
      <c r="P249" s="100"/>
      <c r="Q249" s="100"/>
      <c r="R249" s="100"/>
      <c r="S249" s="100"/>
      <c r="T249" s="100"/>
      <c r="U249" s="100"/>
      <c r="V249" s="100"/>
      <c r="W249" s="100"/>
      <c r="X249" s="100"/>
      <c r="Y249" s="100"/>
      <c r="Z249" s="6"/>
    </row>
    <row r="250" ht="52.5" customHeight="1">
      <c r="A250" s="51" t="s">
        <v>664</v>
      </c>
      <c r="B250" s="62" t="s">
        <v>665</v>
      </c>
      <c r="C250" s="101" t="s">
        <v>90</v>
      </c>
      <c r="D250" s="92" t="s">
        <v>666</v>
      </c>
      <c r="E250" s="65" t="str">
        <f>IF(C250="","",IF(C250="Yes","Provide references to quality and performance metrics documentation.","State plans to provide quality and performance metrics for this service."))</f>
        <v>Provide references to quality and performance metrics documentation.</v>
      </c>
      <c r="F250" s="99"/>
      <c r="G250" s="100"/>
      <c r="H250" s="100"/>
      <c r="I250" s="100"/>
      <c r="J250" s="100"/>
      <c r="K250" s="100"/>
      <c r="L250" s="100"/>
      <c r="M250" s="100"/>
      <c r="N250" s="100"/>
      <c r="O250" s="100"/>
      <c r="P250" s="100"/>
      <c r="Q250" s="100"/>
      <c r="R250" s="100"/>
      <c r="S250" s="100"/>
      <c r="T250" s="100"/>
      <c r="U250" s="100"/>
      <c r="V250" s="100"/>
      <c r="W250" s="100"/>
      <c r="X250" s="100"/>
      <c r="Y250" s="100"/>
      <c r="Z250" s="6"/>
    </row>
    <row r="251" ht="52.5" customHeight="1">
      <c r="A251" s="51" t="s">
        <v>667</v>
      </c>
      <c r="B251" s="62" t="s">
        <v>668</v>
      </c>
      <c r="C251" s="101" t="s">
        <v>85</v>
      </c>
      <c r="D251" s="77"/>
      <c r="E251" s="65" t="str">
        <f>IF(C251="","",IF(C251="Yes","Provide the Institution's contact, describe the products and/or services offered, and the total value of the services provided.",""))</f>
        <v/>
      </c>
      <c r="F251" s="99"/>
      <c r="G251" s="100"/>
      <c r="H251" s="100"/>
      <c r="I251" s="100"/>
      <c r="J251" s="100"/>
      <c r="K251" s="100"/>
      <c r="L251" s="100"/>
      <c r="M251" s="100"/>
      <c r="N251" s="100"/>
      <c r="O251" s="100"/>
      <c r="P251" s="100"/>
      <c r="Q251" s="100"/>
      <c r="R251" s="100"/>
      <c r="S251" s="100"/>
      <c r="T251" s="100"/>
      <c r="U251" s="100"/>
      <c r="V251" s="100"/>
      <c r="W251" s="100"/>
      <c r="X251" s="100"/>
      <c r="Y251" s="100"/>
      <c r="Z251" s="6"/>
    </row>
    <row r="252" ht="48.0" customHeight="1">
      <c r="A252" s="51" t="s">
        <v>669</v>
      </c>
      <c r="B252" s="62" t="s">
        <v>670</v>
      </c>
      <c r="C252" s="101" t="s">
        <v>90</v>
      </c>
      <c r="D252" s="92" t="s">
        <v>671</v>
      </c>
      <c r="E252" s="65" t="str">
        <f>IF(C252="","",IF(C252="Yes","Summarize your informational program.","Describe plans to implement this informational program."))</f>
        <v>Summarize your informational program.</v>
      </c>
      <c r="F252" s="99"/>
      <c r="G252" s="100"/>
      <c r="H252" s="100"/>
      <c r="I252" s="100"/>
      <c r="J252" s="100"/>
      <c r="K252" s="100"/>
      <c r="L252" s="100"/>
      <c r="M252" s="100"/>
      <c r="N252" s="100"/>
      <c r="O252" s="100"/>
      <c r="P252" s="100"/>
      <c r="Q252" s="100"/>
      <c r="R252" s="100"/>
      <c r="S252" s="100"/>
      <c r="T252" s="100"/>
      <c r="U252" s="100"/>
      <c r="V252" s="100"/>
      <c r="W252" s="100"/>
      <c r="X252" s="100"/>
      <c r="Y252" s="100"/>
      <c r="Z252" s="6"/>
    </row>
    <row r="253" ht="36.0" customHeight="1">
      <c r="A253" s="45" t="str">
        <f>IF($C$30="","Systems Management &amp; Configuration",IF($C$30="Yes","System Mgmt/Config - Optional based on QUALIFIER response.","Systems Management &amp; Configuration"))</f>
        <v>Systems Management &amp; Configuration</v>
      </c>
      <c r="B253" s="14"/>
      <c r="C253" s="60" t="s">
        <v>79</v>
      </c>
      <c r="D253" s="60" t="s">
        <v>80</v>
      </c>
      <c r="E253" s="61" t="s">
        <v>81</v>
      </c>
      <c r="F253" s="99"/>
      <c r="G253" s="100"/>
      <c r="H253" s="100"/>
      <c r="I253" s="100"/>
      <c r="J253" s="100"/>
      <c r="K253" s="100"/>
      <c r="L253" s="100"/>
      <c r="M253" s="100"/>
      <c r="N253" s="100"/>
      <c r="O253" s="100"/>
      <c r="P253" s="100"/>
      <c r="Q253" s="100"/>
      <c r="R253" s="100"/>
      <c r="S253" s="100"/>
      <c r="T253" s="100"/>
      <c r="U253" s="100"/>
      <c r="V253" s="100"/>
      <c r="W253" s="100"/>
      <c r="X253" s="100"/>
      <c r="Y253" s="100"/>
      <c r="Z253" s="6"/>
    </row>
    <row r="254" ht="48.75" customHeight="1">
      <c r="A254" s="51" t="s">
        <v>672</v>
      </c>
      <c r="B254" s="62" t="s">
        <v>673</v>
      </c>
      <c r="C254" s="101" t="s">
        <v>90</v>
      </c>
      <c r="D254" s="93" t="s">
        <v>674</v>
      </c>
      <c r="E254" s="65" t="str">
        <f>IF(C254="","",IF(C254="Yes","Summarize how this is implemented in your environment.","Describe any implemented compensating controls."))</f>
        <v>Summarize how this is implemented in your environment.</v>
      </c>
      <c r="F254" s="99"/>
      <c r="G254" s="100"/>
      <c r="H254" s="100"/>
      <c r="I254" s="100"/>
      <c r="J254" s="100"/>
      <c r="K254" s="100"/>
      <c r="L254" s="100"/>
      <c r="M254" s="100"/>
      <c r="N254" s="100"/>
      <c r="O254" s="100"/>
      <c r="P254" s="100"/>
      <c r="Q254" s="100"/>
      <c r="R254" s="100"/>
      <c r="S254" s="100"/>
      <c r="T254" s="100"/>
      <c r="U254" s="100"/>
      <c r="V254" s="100"/>
      <c r="W254" s="100"/>
      <c r="X254" s="100"/>
      <c r="Y254" s="100"/>
      <c r="Z254" s="6"/>
    </row>
    <row r="255" ht="48.0" customHeight="1">
      <c r="A255" s="51" t="s">
        <v>675</v>
      </c>
      <c r="B255" s="62" t="s">
        <v>676</v>
      </c>
      <c r="C255" s="101" t="s">
        <v>90</v>
      </c>
      <c r="D255" s="92" t="s">
        <v>677</v>
      </c>
      <c r="E255" s="65" t="str">
        <f>IF(C255="","",IF(C255="Yes","Summarize your implemented system configuration management precess.","Describe how system configuration management is currently handled in your environment."))</f>
        <v>Summarize your implemented system configuration management precess.</v>
      </c>
      <c r="F255" s="99"/>
      <c r="G255" s="100"/>
      <c r="H255" s="100"/>
      <c r="I255" s="100"/>
      <c r="J255" s="100"/>
      <c r="K255" s="100"/>
      <c r="L255" s="100"/>
      <c r="M255" s="100"/>
      <c r="N255" s="100"/>
      <c r="O255" s="100"/>
      <c r="P255" s="100"/>
      <c r="Q255" s="100"/>
      <c r="R255" s="100"/>
      <c r="S255" s="100"/>
      <c r="T255" s="100"/>
      <c r="U255" s="100"/>
      <c r="V255" s="100"/>
      <c r="W255" s="100"/>
      <c r="X255" s="100"/>
      <c r="Y255" s="100"/>
      <c r="Z255" s="6"/>
    </row>
    <row r="256" ht="48.0" customHeight="1">
      <c r="A256" s="51" t="s">
        <v>678</v>
      </c>
      <c r="B256" s="62" t="s">
        <v>679</v>
      </c>
      <c r="C256" s="101" t="s">
        <v>85</v>
      </c>
      <c r="D256" s="92" t="s">
        <v>680</v>
      </c>
      <c r="E256" s="65" t="str">
        <f>IF(C256="","",IF(C256="Yes","Summarize your on-site MDM capabilities.","State any plans to implement a MDM platform in your environment."))</f>
        <v>State any plans to implement a MDM platform in your environment.</v>
      </c>
      <c r="F256" s="99"/>
      <c r="G256" s="100"/>
      <c r="H256" s="100"/>
      <c r="I256" s="100"/>
      <c r="J256" s="100"/>
      <c r="K256" s="100"/>
      <c r="L256" s="100"/>
      <c r="M256" s="100"/>
      <c r="N256" s="100"/>
      <c r="O256" s="100"/>
      <c r="P256" s="100"/>
      <c r="Q256" s="100"/>
      <c r="R256" s="100"/>
      <c r="S256" s="100"/>
      <c r="T256" s="100"/>
      <c r="U256" s="100"/>
      <c r="V256" s="100"/>
      <c r="W256" s="100"/>
      <c r="X256" s="100"/>
      <c r="Y256" s="100"/>
      <c r="Z256" s="6"/>
    </row>
    <row r="257" ht="63.75" customHeight="1">
      <c r="A257" s="51" t="s">
        <v>681</v>
      </c>
      <c r="B257" s="62" t="s">
        <v>682</v>
      </c>
      <c r="C257" s="101" t="s">
        <v>90</v>
      </c>
      <c r="D257" s="103" t="s">
        <v>683</v>
      </c>
      <c r="E257" s="65" t="str">
        <f>IF(C257="","",IF(C257="Yes","Summarize your systems management and configuration strategy.","Describe your intent to implement a systems management and configuration strategy."))</f>
        <v>Summarize your systems management and configuration strategy.</v>
      </c>
      <c r="F257" s="99"/>
      <c r="G257" s="100"/>
      <c r="H257" s="100"/>
      <c r="I257" s="100"/>
      <c r="J257" s="100"/>
      <c r="K257" s="100"/>
      <c r="L257" s="100"/>
      <c r="M257" s="100"/>
      <c r="N257" s="100"/>
      <c r="O257" s="100"/>
      <c r="P257" s="100"/>
      <c r="Q257" s="100"/>
      <c r="R257" s="100"/>
      <c r="S257" s="100"/>
      <c r="T257" s="100"/>
      <c r="U257" s="100"/>
      <c r="V257" s="100"/>
      <c r="W257" s="100"/>
      <c r="X257" s="100"/>
      <c r="Y257" s="100"/>
      <c r="Z257" s="6"/>
    </row>
    <row r="258" ht="36.0" customHeight="1">
      <c r="A258" s="45" t="str">
        <f>IF($C$30="","Vulnerability Scanning",IF($C$30="Yes","Vulnerability Scanning - Optional based on QUALIFIER response.","Vulnerability Scanning"))</f>
        <v>Vulnerability Scanning</v>
      </c>
      <c r="B258" s="14"/>
      <c r="C258" s="60" t="s">
        <v>79</v>
      </c>
      <c r="D258" s="60" t="s">
        <v>80</v>
      </c>
      <c r="E258" s="61" t="s">
        <v>81</v>
      </c>
      <c r="F258" s="99"/>
      <c r="G258" s="100"/>
      <c r="H258" s="100"/>
      <c r="I258" s="100"/>
      <c r="J258" s="100"/>
      <c r="K258" s="100"/>
      <c r="L258" s="100"/>
      <c r="M258" s="100"/>
      <c r="N258" s="100"/>
      <c r="O258" s="100"/>
      <c r="P258" s="100"/>
      <c r="Q258" s="100"/>
      <c r="R258" s="100"/>
      <c r="S258" s="100"/>
      <c r="T258" s="100"/>
      <c r="U258" s="100"/>
      <c r="V258" s="100"/>
      <c r="W258" s="100"/>
      <c r="X258" s="100"/>
      <c r="Y258" s="100"/>
      <c r="Z258" s="6"/>
    </row>
    <row r="259" ht="48.0" customHeight="1">
      <c r="A259" s="51" t="s">
        <v>684</v>
      </c>
      <c r="B259" s="62" t="s">
        <v>685</v>
      </c>
      <c r="C259" s="101" t="s">
        <v>90</v>
      </c>
      <c r="D259" s="92" t="s">
        <v>686</v>
      </c>
      <c r="E259" s="65" t="str">
        <f>IF(C259="","",IF(C259="Yes","Decribe your external application vulnerability scanning strategy.","Describe any plans to implement external vulnerability scanning for your applications."))</f>
        <v>Decribe your external application vulnerability scanning strategy.</v>
      </c>
      <c r="F259" s="99"/>
      <c r="G259" s="100"/>
      <c r="H259" s="100"/>
      <c r="I259" s="100"/>
      <c r="J259" s="100"/>
      <c r="K259" s="100"/>
      <c r="L259" s="100"/>
      <c r="M259" s="100"/>
      <c r="N259" s="100"/>
      <c r="O259" s="100"/>
      <c r="P259" s="100"/>
      <c r="Q259" s="100"/>
      <c r="R259" s="100"/>
      <c r="S259" s="100"/>
      <c r="T259" s="100"/>
      <c r="U259" s="100"/>
      <c r="V259" s="100"/>
      <c r="W259" s="100"/>
      <c r="X259" s="100"/>
      <c r="Y259" s="100"/>
      <c r="Z259" s="6"/>
    </row>
    <row r="260" ht="48.0" customHeight="1">
      <c r="A260" s="51" t="s">
        <v>687</v>
      </c>
      <c r="B260" s="62" t="s">
        <v>688</v>
      </c>
      <c r="C260" s="101" t="s">
        <v>90</v>
      </c>
      <c r="D260" s="92" t="s">
        <v>689</v>
      </c>
      <c r="E260" s="65" t="str">
        <f>IF(C260="","",IF(C260="Yes","State the date of your most recent application external assessment.","Describe any plans to have application external assessment(s) performed on your systems."))</f>
        <v>State the date of your most recent application external assessment.</v>
      </c>
      <c r="F260" s="99"/>
      <c r="G260" s="100"/>
      <c r="H260" s="100"/>
      <c r="I260" s="100"/>
      <c r="J260" s="100"/>
      <c r="K260" s="100"/>
      <c r="L260" s="100"/>
      <c r="M260" s="100"/>
      <c r="N260" s="100"/>
      <c r="O260" s="100"/>
      <c r="P260" s="100"/>
      <c r="Q260" s="100"/>
      <c r="R260" s="100"/>
      <c r="S260" s="100"/>
      <c r="T260" s="100"/>
      <c r="U260" s="100"/>
      <c r="V260" s="100"/>
      <c r="W260" s="100"/>
      <c r="X260" s="100"/>
      <c r="Y260" s="100"/>
      <c r="Z260" s="6"/>
    </row>
    <row r="261" ht="64.5" customHeight="1">
      <c r="A261" s="51" t="s">
        <v>690</v>
      </c>
      <c r="B261" s="62" t="s">
        <v>691</v>
      </c>
      <c r="C261" s="101" t="s">
        <v>90</v>
      </c>
      <c r="D261" s="92" t="s">
        <v>692</v>
      </c>
      <c r="E261" s="65" t="str">
        <f>IF(C261="","",IF(C261="Yes","Summarize your vulnerability scanning strategy.","Describe plans to implement application vulnerability scanning prior to release."))</f>
        <v>Summarize your vulnerability scanning strategy.</v>
      </c>
      <c r="F261" s="99"/>
      <c r="G261" s="100"/>
      <c r="H261" s="100"/>
      <c r="I261" s="100"/>
      <c r="J261" s="100"/>
      <c r="K261" s="100"/>
      <c r="L261" s="100"/>
      <c r="M261" s="100"/>
      <c r="N261" s="100"/>
      <c r="O261" s="100"/>
      <c r="P261" s="100"/>
      <c r="Q261" s="100"/>
      <c r="R261" s="100"/>
      <c r="S261" s="100"/>
      <c r="T261" s="100"/>
      <c r="U261" s="100"/>
      <c r="V261" s="100"/>
      <c r="W261" s="100"/>
      <c r="X261" s="100"/>
      <c r="Y261" s="100"/>
      <c r="Z261" s="6"/>
    </row>
    <row r="262" ht="48.75" customHeight="1">
      <c r="A262" s="51" t="s">
        <v>693</v>
      </c>
      <c r="B262" s="62" t="s">
        <v>694</v>
      </c>
      <c r="C262" s="101" t="s">
        <v>90</v>
      </c>
      <c r="D262" s="105" t="s">
        <v>695</v>
      </c>
      <c r="E262" s="65" t="str">
        <f>IF(C262="","",IF(C262="Yes","Decribe your external system vulnerability scanning strategy.","Describe any plans to implement external vulnerability scanning for your systems."))</f>
        <v>Decribe your external system vulnerability scanning strategy.</v>
      </c>
      <c r="F262" s="99"/>
      <c r="G262" s="100"/>
      <c r="H262" s="100"/>
      <c r="I262" s="100"/>
      <c r="J262" s="100"/>
      <c r="K262" s="100"/>
      <c r="L262" s="100"/>
      <c r="M262" s="100"/>
      <c r="N262" s="100"/>
      <c r="O262" s="100"/>
      <c r="P262" s="100"/>
      <c r="Q262" s="100"/>
      <c r="R262" s="100"/>
      <c r="S262" s="100"/>
      <c r="T262" s="100"/>
      <c r="U262" s="100"/>
      <c r="V262" s="100"/>
      <c r="W262" s="100"/>
      <c r="X262" s="100"/>
      <c r="Y262" s="100"/>
      <c r="Z262" s="6"/>
    </row>
    <row r="263" ht="48.0" customHeight="1">
      <c r="A263" s="51" t="s">
        <v>696</v>
      </c>
      <c r="B263" s="62" t="s">
        <v>697</v>
      </c>
      <c r="C263" s="101" t="s">
        <v>90</v>
      </c>
      <c r="D263" s="92" t="s">
        <v>698</v>
      </c>
      <c r="E263" s="65" t="str">
        <f>IF(C263="","",IF(C263="Yes","State the date of your most recent system external assessment.","Describe any plans to have system external assessment(s) performed on your systems."))</f>
        <v>State the date of your most recent system external assessment.</v>
      </c>
      <c r="F263" s="99"/>
      <c r="G263" s="100"/>
      <c r="H263" s="100"/>
      <c r="I263" s="100"/>
      <c r="J263" s="100"/>
      <c r="K263" s="100"/>
      <c r="L263" s="100"/>
      <c r="M263" s="100"/>
      <c r="N263" s="100"/>
      <c r="O263" s="100"/>
      <c r="P263" s="100"/>
      <c r="Q263" s="100"/>
      <c r="R263" s="100"/>
      <c r="S263" s="100"/>
      <c r="T263" s="100"/>
      <c r="U263" s="100"/>
      <c r="V263" s="100"/>
      <c r="W263" s="100"/>
      <c r="X263" s="100"/>
      <c r="Y263" s="100"/>
      <c r="Z263" s="6"/>
    </row>
    <row r="264" ht="64.5" customHeight="1">
      <c r="A264" s="51" t="s">
        <v>699</v>
      </c>
      <c r="B264" s="62" t="s">
        <v>700</v>
      </c>
      <c r="C264" s="90" t="s">
        <v>701</v>
      </c>
      <c r="D264" s="14"/>
      <c r="E264" s="65" t="s">
        <v>702</v>
      </c>
      <c r="F264" s="99"/>
      <c r="G264" s="100"/>
      <c r="H264" s="100"/>
      <c r="I264" s="100"/>
      <c r="J264" s="100"/>
      <c r="K264" s="100"/>
      <c r="L264" s="100"/>
      <c r="M264" s="100"/>
      <c r="N264" s="100"/>
      <c r="O264" s="100"/>
      <c r="P264" s="100"/>
      <c r="Q264" s="100"/>
      <c r="R264" s="100"/>
      <c r="S264" s="100"/>
      <c r="T264" s="100"/>
      <c r="U264" s="100"/>
      <c r="V264" s="100"/>
      <c r="W264" s="100"/>
      <c r="X264" s="100"/>
      <c r="Y264" s="100"/>
      <c r="Z264" s="6"/>
    </row>
    <row r="265" ht="48.0" customHeight="1">
      <c r="A265" s="51" t="s">
        <v>703</v>
      </c>
      <c r="B265" s="62" t="s">
        <v>704</v>
      </c>
      <c r="C265" s="101" t="s">
        <v>90</v>
      </c>
      <c r="D265" s="92" t="s">
        <v>705</v>
      </c>
      <c r="E265" s="65" t="str">
        <f>IF(C265="","",IF(C265="Yes","Provide a reference to security scan documentation.","Describe why security scan results will not be provided to the Institution."))</f>
        <v>Provide a reference to security scan documentation.</v>
      </c>
      <c r="F265" s="99"/>
      <c r="G265" s="100"/>
      <c r="H265" s="100"/>
      <c r="I265" s="100"/>
      <c r="J265" s="100"/>
      <c r="K265" s="100"/>
      <c r="L265" s="100"/>
      <c r="M265" s="100"/>
      <c r="N265" s="100"/>
      <c r="O265" s="100"/>
      <c r="P265" s="100"/>
      <c r="Q265" s="100"/>
      <c r="R265" s="100"/>
      <c r="S265" s="100"/>
      <c r="T265" s="100"/>
      <c r="U265" s="100"/>
      <c r="V265" s="100"/>
      <c r="W265" s="100"/>
      <c r="X265" s="100"/>
      <c r="Y265" s="100"/>
      <c r="Z265" s="6"/>
    </row>
    <row r="266" ht="64.5" customHeight="1">
      <c r="A266" s="51" t="s">
        <v>706</v>
      </c>
      <c r="B266" s="62" t="s">
        <v>707</v>
      </c>
      <c r="C266" s="90" t="s">
        <v>708</v>
      </c>
      <c r="D266" s="14"/>
      <c r="E266" s="65" t="s">
        <v>709</v>
      </c>
      <c r="F266" s="99"/>
      <c r="G266" s="100"/>
      <c r="H266" s="100"/>
      <c r="I266" s="100"/>
      <c r="J266" s="100"/>
      <c r="K266" s="100"/>
      <c r="L266" s="100"/>
      <c r="M266" s="100"/>
      <c r="N266" s="100"/>
      <c r="O266" s="100"/>
      <c r="P266" s="100"/>
      <c r="Q266" s="100"/>
      <c r="R266" s="100"/>
      <c r="S266" s="100"/>
      <c r="T266" s="100"/>
      <c r="U266" s="100"/>
      <c r="V266" s="100"/>
      <c r="W266" s="100"/>
      <c r="X266" s="100"/>
      <c r="Y266" s="100"/>
      <c r="Z266" s="6"/>
    </row>
    <row r="267" ht="54.0" customHeight="1">
      <c r="A267" s="51" t="s">
        <v>710</v>
      </c>
      <c r="B267" s="62" t="s">
        <v>711</v>
      </c>
      <c r="C267" s="101" t="s">
        <v>90</v>
      </c>
      <c r="D267" s="92" t="s">
        <v>712</v>
      </c>
      <c r="E267" s="65" t="str">
        <f>IF(C267="","",IF(C267="Yes","Provide reference to the process or procedure to setup security testing times and scopes.","Provide a brief summary for your response."))</f>
        <v>Provide reference to the process or procedure to setup security testing times and scopes.</v>
      </c>
      <c r="F267" s="99"/>
      <c r="G267" s="100"/>
      <c r="H267" s="100"/>
      <c r="I267" s="100"/>
      <c r="J267" s="100"/>
      <c r="K267" s="100"/>
      <c r="L267" s="100"/>
      <c r="M267" s="100"/>
      <c r="N267" s="100"/>
      <c r="O267" s="100"/>
      <c r="P267" s="100"/>
      <c r="Q267" s="100"/>
      <c r="R267" s="100"/>
      <c r="S267" s="100"/>
      <c r="T267" s="100"/>
      <c r="U267" s="100"/>
      <c r="V267" s="100"/>
      <c r="W267" s="100"/>
      <c r="X267" s="100"/>
      <c r="Y267" s="100"/>
      <c r="Z267" s="6"/>
    </row>
    <row r="268" ht="36.0" customHeight="1">
      <c r="A268" s="45" t="str">
        <f>IF(OR($C$24="No",$C$30="Yes"),"HIPAA - Optional based on QUALIFIER response.","HIPAA")</f>
        <v>HIPAA - Optional based on QUALIFIER response.</v>
      </c>
      <c r="B268" s="14"/>
      <c r="C268" s="60" t="s">
        <v>79</v>
      </c>
      <c r="D268" s="60" t="s">
        <v>80</v>
      </c>
      <c r="E268" s="61" t="s">
        <v>81</v>
      </c>
      <c r="F268" s="99"/>
      <c r="G268" s="100"/>
      <c r="H268" s="100"/>
      <c r="I268" s="100"/>
      <c r="J268" s="100"/>
      <c r="K268" s="100"/>
      <c r="L268" s="100"/>
      <c r="M268" s="100"/>
      <c r="N268" s="100"/>
      <c r="O268" s="100"/>
      <c r="P268" s="100"/>
      <c r="Q268" s="100"/>
      <c r="R268" s="100"/>
      <c r="S268" s="100"/>
      <c r="T268" s="100"/>
      <c r="U268" s="100"/>
      <c r="V268" s="100"/>
      <c r="W268" s="100"/>
      <c r="X268" s="100"/>
      <c r="Y268" s="100"/>
      <c r="Z268" s="6"/>
    </row>
    <row r="269" ht="64.5" customHeight="1">
      <c r="A269" s="51" t="s">
        <v>713</v>
      </c>
      <c r="B269" s="62" t="s">
        <v>714</v>
      </c>
      <c r="C269" s="66"/>
      <c r="D269" s="77"/>
      <c r="E269" s="65" t="s">
        <v>715</v>
      </c>
      <c r="F269" s="99"/>
      <c r="G269" s="100"/>
      <c r="H269" s="100"/>
      <c r="I269" s="100"/>
      <c r="J269" s="100"/>
      <c r="K269" s="100"/>
      <c r="L269" s="100"/>
      <c r="M269" s="100"/>
      <c r="N269" s="100"/>
      <c r="O269" s="100"/>
      <c r="P269" s="100"/>
      <c r="Q269" s="100"/>
      <c r="R269" s="100"/>
      <c r="S269" s="100"/>
      <c r="T269" s="100"/>
      <c r="U269" s="100"/>
      <c r="V269" s="100"/>
      <c r="W269" s="100"/>
      <c r="X269" s="100"/>
      <c r="Y269" s="100"/>
      <c r="Z269" s="6"/>
    </row>
    <row r="270" ht="48.0" customHeight="1">
      <c r="A270" s="51" t="s">
        <v>716</v>
      </c>
      <c r="B270" s="62" t="s">
        <v>717</v>
      </c>
      <c r="C270" s="66"/>
      <c r="D270" s="77"/>
      <c r="E270" s="65" t="s">
        <v>715</v>
      </c>
      <c r="F270" s="99"/>
      <c r="G270" s="100"/>
      <c r="H270" s="100"/>
      <c r="I270" s="100"/>
      <c r="J270" s="100"/>
      <c r="K270" s="100"/>
      <c r="L270" s="100"/>
      <c r="M270" s="100"/>
      <c r="N270" s="100"/>
      <c r="O270" s="100"/>
      <c r="P270" s="100"/>
      <c r="Q270" s="100"/>
      <c r="R270" s="100"/>
      <c r="S270" s="100"/>
      <c r="T270" s="100"/>
      <c r="U270" s="100"/>
      <c r="V270" s="100"/>
      <c r="W270" s="100"/>
      <c r="X270" s="100"/>
      <c r="Y270" s="100"/>
      <c r="Z270" s="6"/>
    </row>
    <row r="271" ht="48.0" customHeight="1">
      <c r="A271" s="51" t="s">
        <v>718</v>
      </c>
      <c r="B271" s="62" t="s">
        <v>719</v>
      </c>
      <c r="C271" s="66"/>
      <c r="D271" s="77"/>
      <c r="E271" s="65" t="s">
        <v>715</v>
      </c>
      <c r="F271" s="99"/>
      <c r="G271" s="100"/>
      <c r="H271" s="100"/>
      <c r="I271" s="100"/>
      <c r="J271" s="100"/>
      <c r="K271" s="100"/>
      <c r="L271" s="100"/>
      <c r="M271" s="100"/>
      <c r="N271" s="100"/>
      <c r="O271" s="100"/>
      <c r="P271" s="100"/>
      <c r="Q271" s="100"/>
      <c r="R271" s="100"/>
      <c r="S271" s="100"/>
      <c r="T271" s="100"/>
      <c r="U271" s="100"/>
      <c r="V271" s="100"/>
      <c r="W271" s="100"/>
      <c r="X271" s="100"/>
      <c r="Y271" s="100"/>
      <c r="Z271" s="6"/>
    </row>
    <row r="272" ht="48.0" customHeight="1">
      <c r="A272" s="51" t="s">
        <v>720</v>
      </c>
      <c r="B272" s="62" t="s">
        <v>721</v>
      </c>
      <c r="C272" s="66"/>
      <c r="D272" s="77"/>
      <c r="E272" s="65" t="s">
        <v>715</v>
      </c>
      <c r="F272" s="99"/>
      <c r="G272" s="100"/>
      <c r="H272" s="100"/>
      <c r="I272" s="100"/>
      <c r="J272" s="100"/>
      <c r="K272" s="100"/>
      <c r="L272" s="100"/>
      <c r="M272" s="100"/>
      <c r="N272" s="100"/>
      <c r="O272" s="100"/>
      <c r="P272" s="100"/>
      <c r="Q272" s="100"/>
      <c r="R272" s="100"/>
      <c r="S272" s="100"/>
      <c r="T272" s="100"/>
      <c r="U272" s="100"/>
      <c r="V272" s="100"/>
      <c r="W272" s="100"/>
      <c r="X272" s="100"/>
      <c r="Y272" s="100"/>
      <c r="Z272" s="6"/>
    </row>
    <row r="273" ht="48.0" customHeight="1">
      <c r="A273" s="51" t="s">
        <v>722</v>
      </c>
      <c r="B273" s="62" t="s">
        <v>723</v>
      </c>
      <c r="C273" s="66"/>
      <c r="D273" s="77"/>
      <c r="E273" s="65" t="s">
        <v>715</v>
      </c>
      <c r="F273" s="99"/>
      <c r="G273" s="100"/>
      <c r="H273" s="100"/>
      <c r="I273" s="100"/>
      <c r="J273" s="100"/>
      <c r="K273" s="100"/>
      <c r="L273" s="100"/>
      <c r="M273" s="100"/>
      <c r="N273" s="100"/>
      <c r="O273" s="100"/>
      <c r="P273" s="100"/>
      <c r="Q273" s="100"/>
      <c r="R273" s="100"/>
      <c r="S273" s="100"/>
      <c r="T273" s="100"/>
      <c r="U273" s="100"/>
      <c r="V273" s="100"/>
      <c r="W273" s="100"/>
      <c r="X273" s="100"/>
      <c r="Y273" s="100"/>
      <c r="Z273" s="6"/>
    </row>
    <row r="274" ht="48.0" customHeight="1">
      <c r="A274" s="51" t="s">
        <v>724</v>
      </c>
      <c r="B274" s="62" t="s">
        <v>725</v>
      </c>
      <c r="C274" s="66"/>
      <c r="D274" s="77"/>
      <c r="E274" s="65" t="s">
        <v>715</v>
      </c>
      <c r="F274" s="99"/>
      <c r="G274" s="100"/>
      <c r="H274" s="100"/>
      <c r="I274" s="100"/>
      <c r="J274" s="100"/>
      <c r="K274" s="100"/>
      <c r="L274" s="100"/>
      <c r="M274" s="100"/>
      <c r="N274" s="100"/>
      <c r="O274" s="100"/>
      <c r="P274" s="100"/>
      <c r="Q274" s="100"/>
      <c r="R274" s="100"/>
      <c r="S274" s="100"/>
      <c r="T274" s="100"/>
      <c r="U274" s="100"/>
      <c r="V274" s="100"/>
      <c r="W274" s="100"/>
      <c r="X274" s="100"/>
      <c r="Y274" s="100"/>
      <c r="Z274" s="6"/>
    </row>
    <row r="275" ht="48.0" customHeight="1">
      <c r="A275" s="51" t="s">
        <v>726</v>
      </c>
      <c r="B275" s="62" t="s">
        <v>727</v>
      </c>
      <c r="C275" s="66"/>
      <c r="D275" s="77"/>
      <c r="E275" s="65" t="s">
        <v>715</v>
      </c>
      <c r="F275" s="99"/>
      <c r="G275" s="100"/>
      <c r="H275" s="100"/>
      <c r="I275" s="100"/>
      <c r="J275" s="100"/>
      <c r="K275" s="100"/>
      <c r="L275" s="100"/>
      <c r="M275" s="100"/>
      <c r="N275" s="100"/>
      <c r="O275" s="100"/>
      <c r="P275" s="100"/>
      <c r="Q275" s="100"/>
      <c r="R275" s="100"/>
      <c r="S275" s="100"/>
      <c r="T275" s="100"/>
      <c r="U275" s="100"/>
      <c r="V275" s="100"/>
      <c r="W275" s="100"/>
      <c r="X275" s="100"/>
      <c r="Y275" s="100"/>
      <c r="Z275" s="6"/>
    </row>
    <row r="276" ht="48.0" customHeight="1">
      <c r="A276" s="51" t="s">
        <v>728</v>
      </c>
      <c r="B276" s="62" t="s">
        <v>729</v>
      </c>
      <c r="C276" s="66"/>
      <c r="D276" s="77"/>
      <c r="E276" s="65" t="s">
        <v>715</v>
      </c>
      <c r="F276" s="99"/>
      <c r="G276" s="100"/>
      <c r="H276" s="100"/>
      <c r="I276" s="100"/>
      <c r="J276" s="100"/>
      <c r="K276" s="100"/>
      <c r="L276" s="100"/>
      <c r="M276" s="100"/>
      <c r="N276" s="100"/>
      <c r="O276" s="100"/>
      <c r="P276" s="100"/>
      <c r="Q276" s="100"/>
      <c r="R276" s="100"/>
      <c r="S276" s="100"/>
      <c r="T276" s="100"/>
      <c r="U276" s="100"/>
      <c r="V276" s="100"/>
      <c r="W276" s="100"/>
      <c r="X276" s="100"/>
      <c r="Y276" s="100"/>
      <c r="Z276" s="6"/>
    </row>
    <row r="277" ht="48.0" customHeight="1">
      <c r="A277" s="51" t="s">
        <v>730</v>
      </c>
      <c r="B277" s="62" t="s">
        <v>731</v>
      </c>
      <c r="C277" s="66"/>
      <c r="D277" s="77"/>
      <c r="E277" s="65" t="s">
        <v>715</v>
      </c>
      <c r="F277" s="99"/>
      <c r="G277" s="100"/>
      <c r="H277" s="100"/>
      <c r="I277" s="100"/>
      <c r="J277" s="100"/>
      <c r="K277" s="100"/>
      <c r="L277" s="100"/>
      <c r="M277" s="100"/>
      <c r="N277" s="100"/>
      <c r="O277" s="100"/>
      <c r="P277" s="100"/>
      <c r="Q277" s="100"/>
      <c r="R277" s="100"/>
      <c r="S277" s="100"/>
      <c r="T277" s="100"/>
      <c r="U277" s="100"/>
      <c r="V277" s="100"/>
      <c r="W277" s="100"/>
      <c r="X277" s="100"/>
      <c r="Y277" s="100"/>
      <c r="Z277" s="6"/>
    </row>
    <row r="278" ht="48.0" customHeight="1">
      <c r="A278" s="51" t="s">
        <v>732</v>
      </c>
      <c r="B278" s="62" t="s">
        <v>733</v>
      </c>
      <c r="C278" s="66"/>
      <c r="D278" s="77"/>
      <c r="E278" s="65" t="s">
        <v>715</v>
      </c>
      <c r="F278" s="99"/>
      <c r="G278" s="100"/>
      <c r="H278" s="100"/>
      <c r="I278" s="100"/>
      <c r="J278" s="100"/>
      <c r="K278" s="100"/>
      <c r="L278" s="100"/>
      <c r="M278" s="100"/>
      <c r="N278" s="100"/>
      <c r="O278" s="100"/>
      <c r="P278" s="100"/>
      <c r="Q278" s="100"/>
      <c r="R278" s="100"/>
      <c r="S278" s="100"/>
      <c r="T278" s="100"/>
      <c r="U278" s="100"/>
      <c r="V278" s="100"/>
      <c r="W278" s="100"/>
      <c r="X278" s="100"/>
      <c r="Y278" s="100"/>
      <c r="Z278" s="6"/>
    </row>
    <row r="279" ht="48.0" customHeight="1">
      <c r="A279" s="51" t="s">
        <v>734</v>
      </c>
      <c r="B279" s="62" t="s">
        <v>735</v>
      </c>
      <c r="C279" s="66"/>
      <c r="D279" s="77"/>
      <c r="E279" s="65" t="s">
        <v>715</v>
      </c>
      <c r="F279" s="99"/>
      <c r="G279" s="100"/>
      <c r="H279" s="100"/>
      <c r="I279" s="100"/>
      <c r="J279" s="100"/>
      <c r="K279" s="100"/>
      <c r="L279" s="100"/>
      <c r="M279" s="100"/>
      <c r="N279" s="100"/>
      <c r="O279" s="100"/>
      <c r="P279" s="100"/>
      <c r="Q279" s="100"/>
      <c r="R279" s="100"/>
      <c r="S279" s="100"/>
      <c r="T279" s="100"/>
      <c r="U279" s="100"/>
      <c r="V279" s="100"/>
      <c r="W279" s="100"/>
      <c r="X279" s="100"/>
      <c r="Y279" s="100"/>
      <c r="Z279" s="6"/>
    </row>
    <row r="280" ht="48.0" customHeight="1">
      <c r="A280" s="51" t="s">
        <v>736</v>
      </c>
      <c r="B280" s="62" t="s">
        <v>737</v>
      </c>
      <c r="C280" s="66"/>
      <c r="D280" s="77"/>
      <c r="E280" s="65" t="s">
        <v>715</v>
      </c>
      <c r="F280" s="99"/>
      <c r="G280" s="100"/>
      <c r="H280" s="100"/>
      <c r="I280" s="100"/>
      <c r="J280" s="100"/>
      <c r="K280" s="100"/>
      <c r="L280" s="100"/>
      <c r="M280" s="100"/>
      <c r="N280" s="100"/>
      <c r="O280" s="100"/>
      <c r="P280" s="100"/>
      <c r="Q280" s="100"/>
      <c r="R280" s="100"/>
      <c r="S280" s="100"/>
      <c r="T280" s="100"/>
      <c r="U280" s="100"/>
      <c r="V280" s="100"/>
      <c r="W280" s="100"/>
      <c r="X280" s="100"/>
      <c r="Y280" s="100"/>
      <c r="Z280" s="6"/>
    </row>
    <row r="281" ht="48.0" customHeight="1">
      <c r="A281" s="51" t="s">
        <v>738</v>
      </c>
      <c r="B281" s="62" t="s">
        <v>739</v>
      </c>
      <c r="C281" s="66"/>
      <c r="D281" s="77"/>
      <c r="E281" s="65" t="s">
        <v>715</v>
      </c>
      <c r="F281" s="99"/>
      <c r="G281" s="100"/>
      <c r="H281" s="100"/>
      <c r="I281" s="100"/>
      <c r="J281" s="100"/>
      <c r="K281" s="100"/>
      <c r="L281" s="100"/>
      <c r="M281" s="100"/>
      <c r="N281" s="100"/>
      <c r="O281" s="100"/>
      <c r="P281" s="100"/>
      <c r="Q281" s="100"/>
      <c r="R281" s="100"/>
      <c r="S281" s="100"/>
      <c r="T281" s="100"/>
      <c r="U281" s="100"/>
      <c r="V281" s="100"/>
      <c r="W281" s="100"/>
      <c r="X281" s="100"/>
      <c r="Y281" s="100"/>
      <c r="Z281" s="6"/>
    </row>
    <row r="282" ht="48.0" customHeight="1">
      <c r="A282" s="51" t="s">
        <v>740</v>
      </c>
      <c r="B282" s="62" t="s">
        <v>741</v>
      </c>
      <c r="C282" s="66"/>
      <c r="D282" s="77"/>
      <c r="E282" s="65" t="s">
        <v>715</v>
      </c>
      <c r="F282" s="99"/>
      <c r="G282" s="100"/>
      <c r="H282" s="100"/>
      <c r="I282" s="100"/>
      <c r="J282" s="100"/>
      <c r="K282" s="100"/>
      <c r="L282" s="100"/>
      <c r="M282" s="100"/>
      <c r="N282" s="100"/>
      <c r="O282" s="100"/>
      <c r="P282" s="100"/>
      <c r="Q282" s="100"/>
      <c r="R282" s="100"/>
      <c r="S282" s="100"/>
      <c r="T282" s="100"/>
      <c r="U282" s="100"/>
      <c r="V282" s="100"/>
      <c r="W282" s="100"/>
      <c r="X282" s="100"/>
      <c r="Y282" s="100"/>
      <c r="Z282" s="6"/>
    </row>
    <row r="283" ht="48.0" customHeight="1">
      <c r="A283" s="51" t="s">
        <v>742</v>
      </c>
      <c r="B283" s="62" t="s">
        <v>743</v>
      </c>
      <c r="C283" s="66"/>
      <c r="D283" s="77"/>
      <c r="E283" s="65" t="s">
        <v>715</v>
      </c>
      <c r="F283" s="99"/>
      <c r="G283" s="100"/>
      <c r="H283" s="100"/>
      <c r="I283" s="100"/>
      <c r="J283" s="100"/>
      <c r="K283" s="100"/>
      <c r="L283" s="100"/>
      <c r="M283" s="100"/>
      <c r="N283" s="100"/>
      <c r="O283" s="100"/>
      <c r="P283" s="100"/>
      <c r="Q283" s="100"/>
      <c r="R283" s="100"/>
      <c r="S283" s="100"/>
      <c r="T283" s="100"/>
      <c r="U283" s="100"/>
      <c r="V283" s="100"/>
      <c r="W283" s="100"/>
      <c r="X283" s="100"/>
      <c r="Y283" s="100"/>
      <c r="Z283" s="6"/>
    </row>
    <row r="284" ht="48.0" customHeight="1">
      <c r="A284" s="51" t="s">
        <v>744</v>
      </c>
      <c r="B284" s="62" t="s">
        <v>745</v>
      </c>
      <c r="C284" s="66"/>
      <c r="D284" s="77"/>
      <c r="E284" s="65" t="s">
        <v>715</v>
      </c>
      <c r="F284" s="99"/>
      <c r="G284" s="100"/>
      <c r="H284" s="100"/>
      <c r="I284" s="100"/>
      <c r="J284" s="100"/>
      <c r="K284" s="100"/>
      <c r="L284" s="100"/>
      <c r="M284" s="100"/>
      <c r="N284" s="100"/>
      <c r="O284" s="100"/>
      <c r="P284" s="100"/>
      <c r="Q284" s="100"/>
      <c r="R284" s="100"/>
      <c r="S284" s="100"/>
      <c r="T284" s="100"/>
      <c r="U284" s="100"/>
      <c r="V284" s="100"/>
      <c r="W284" s="100"/>
      <c r="X284" s="100"/>
      <c r="Y284" s="100"/>
      <c r="Z284" s="6"/>
    </row>
    <row r="285" ht="48.0" customHeight="1">
      <c r="A285" s="51" t="s">
        <v>746</v>
      </c>
      <c r="B285" s="62" t="s">
        <v>747</v>
      </c>
      <c r="C285" s="66"/>
      <c r="D285" s="77"/>
      <c r="E285" s="65" t="s">
        <v>715</v>
      </c>
      <c r="F285" s="99"/>
      <c r="G285" s="100"/>
      <c r="H285" s="100"/>
      <c r="I285" s="100"/>
      <c r="J285" s="100"/>
      <c r="K285" s="100"/>
      <c r="L285" s="100"/>
      <c r="M285" s="100"/>
      <c r="N285" s="100"/>
      <c r="O285" s="100"/>
      <c r="P285" s="100"/>
      <c r="Q285" s="100"/>
      <c r="R285" s="100"/>
      <c r="S285" s="100"/>
      <c r="T285" s="100"/>
      <c r="U285" s="100"/>
      <c r="V285" s="100"/>
      <c r="W285" s="100"/>
      <c r="X285" s="100"/>
      <c r="Y285" s="100"/>
      <c r="Z285" s="6"/>
    </row>
    <row r="286" ht="48.0" customHeight="1">
      <c r="A286" s="51" t="s">
        <v>748</v>
      </c>
      <c r="B286" s="62" t="s">
        <v>749</v>
      </c>
      <c r="C286" s="66"/>
      <c r="D286" s="77"/>
      <c r="E286" s="65" t="s">
        <v>715</v>
      </c>
      <c r="F286" s="99"/>
      <c r="G286" s="100"/>
      <c r="H286" s="100"/>
      <c r="I286" s="100"/>
      <c r="J286" s="100"/>
      <c r="K286" s="100"/>
      <c r="L286" s="100"/>
      <c r="M286" s="100"/>
      <c r="N286" s="100"/>
      <c r="O286" s="100"/>
      <c r="P286" s="100"/>
      <c r="Q286" s="100"/>
      <c r="R286" s="100"/>
      <c r="S286" s="100"/>
      <c r="T286" s="100"/>
      <c r="U286" s="100"/>
      <c r="V286" s="100"/>
      <c r="W286" s="100"/>
      <c r="X286" s="100"/>
      <c r="Y286" s="100"/>
      <c r="Z286" s="6"/>
    </row>
    <row r="287" ht="46.5" customHeight="1">
      <c r="A287" s="51" t="s">
        <v>750</v>
      </c>
      <c r="B287" s="62" t="s">
        <v>751</v>
      </c>
      <c r="C287" s="66"/>
      <c r="D287" s="77"/>
      <c r="E287" s="65" t="s">
        <v>715</v>
      </c>
      <c r="F287" s="99"/>
      <c r="G287" s="100"/>
      <c r="H287" s="100"/>
      <c r="I287" s="100"/>
      <c r="J287" s="100"/>
      <c r="K287" s="100"/>
      <c r="L287" s="100"/>
      <c r="M287" s="100"/>
      <c r="N287" s="100"/>
      <c r="O287" s="100"/>
      <c r="P287" s="100"/>
      <c r="Q287" s="100"/>
      <c r="R287" s="100"/>
      <c r="S287" s="100"/>
      <c r="T287" s="100"/>
      <c r="U287" s="100"/>
      <c r="V287" s="100"/>
      <c r="W287" s="100"/>
      <c r="X287" s="100"/>
      <c r="Y287" s="100"/>
      <c r="Z287" s="6"/>
    </row>
    <row r="288" ht="46.5" customHeight="1">
      <c r="A288" s="51" t="s">
        <v>752</v>
      </c>
      <c r="B288" s="62" t="s">
        <v>753</v>
      </c>
      <c r="C288" s="66"/>
      <c r="D288" s="77"/>
      <c r="E288" s="65" t="s">
        <v>715</v>
      </c>
      <c r="F288" s="99"/>
      <c r="G288" s="100"/>
      <c r="H288" s="100"/>
      <c r="I288" s="100"/>
      <c r="J288" s="100"/>
      <c r="K288" s="100"/>
      <c r="L288" s="100"/>
      <c r="M288" s="100"/>
      <c r="N288" s="100"/>
      <c r="O288" s="100"/>
      <c r="P288" s="100"/>
      <c r="Q288" s="100"/>
      <c r="R288" s="100"/>
      <c r="S288" s="100"/>
      <c r="T288" s="100"/>
      <c r="U288" s="100"/>
      <c r="V288" s="100"/>
      <c r="W288" s="100"/>
      <c r="X288" s="100"/>
      <c r="Y288" s="100"/>
      <c r="Z288" s="6"/>
    </row>
    <row r="289" ht="48.0" customHeight="1">
      <c r="A289" s="51" t="s">
        <v>754</v>
      </c>
      <c r="B289" s="62" t="s">
        <v>755</v>
      </c>
      <c r="C289" s="66"/>
      <c r="D289" s="77"/>
      <c r="E289" s="65" t="s">
        <v>715</v>
      </c>
      <c r="F289" s="99"/>
      <c r="G289" s="100"/>
      <c r="H289" s="100"/>
      <c r="I289" s="100"/>
      <c r="J289" s="100"/>
      <c r="K289" s="100"/>
      <c r="L289" s="100"/>
      <c r="M289" s="100"/>
      <c r="N289" s="100"/>
      <c r="O289" s="100"/>
      <c r="P289" s="100"/>
      <c r="Q289" s="100"/>
      <c r="R289" s="100"/>
      <c r="S289" s="100"/>
      <c r="T289" s="100"/>
      <c r="U289" s="100"/>
      <c r="V289" s="100"/>
      <c r="W289" s="100"/>
      <c r="X289" s="100"/>
      <c r="Y289" s="100"/>
      <c r="Z289" s="6"/>
    </row>
    <row r="290" ht="64.5" customHeight="1">
      <c r="A290" s="51" t="s">
        <v>756</v>
      </c>
      <c r="B290" s="62" t="s">
        <v>757</v>
      </c>
      <c r="C290" s="66"/>
      <c r="D290" s="77"/>
      <c r="E290" s="65" t="s">
        <v>715</v>
      </c>
      <c r="F290" s="99"/>
      <c r="G290" s="100"/>
      <c r="H290" s="100"/>
      <c r="I290" s="100"/>
      <c r="J290" s="100"/>
      <c r="K290" s="100"/>
      <c r="L290" s="100"/>
      <c r="M290" s="100"/>
      <c r="N290" s="100"/>
      <c r="O290" s="100"/>
      <c r="P290" s="100"/>
      <c r="Q290" s="100"/>
      <c r="R290" s="100"/>
      <c r="S290" s="100"/>
      <c r="T290" s="100"/>
      <c r="U290" s="100"/>
      <c r="V290" s="100"/>
      <c r="W290" s="100"/>
      <c r="X290" s="100"/>
      <c r="Y290" s="100"/>
      <c r="Z290" s="6"/>
    </row>
    <row r="291" ht="48.0" customHeight="1">
      <c r="A291" s="51" t="s">
        <v>758</v>
      </c>
      <c r="B291" s="62" t="s">
        <v>759</v>
      </c>
      <c r="C291" s="111"/>
      <c r="D291" s="14"/>
      <c r="E291" s="65" t="s">
        <v>715</v>
      </c>
      <c r="F291" s="99"/>
      <c r="G291" s="100"/>
      <c r="H291" s="100"/>
      <c r="I291" s="100"/>
      <c r="J291" s="100"/>
      <c r="K291" s="100"/>
      <c r="L291" s="100"/>
      <c r="M291" s="100"/>
      <c r="N291" s="100"/>
      <c r="O291" s="100"/>
      <c r="P291" s="100"/>
      <c r="Q291" s="100"/>
      <c r="R291" s="100"/>
      <c r="S291" s="100"/>
      <c r="T291" s="100"/>
      <c r="U291" s="100"/>
      <c r="V291" s="100"/>
      <c r="W291" s="100"/>
      <c r="X291" s="100"/>
      <c r="Y291" s="100"/>
      <c r="Z291" s="6"/>
    </row>
    <row r="292" ht="48.0" customHeight="1">
      <c r="A292" s="51" t="s">
        <v>760</v>
      </c>
      <c r="B292" s="62" t="s">
        <v>761</v>
      </c>
      <c r="C292" s="66"/>
      <c r="D292" s="77"/>
      <c r="E292" s="65" t="s">
        <v>715</v>
      </c>
      <c r="F292" s="99"/>
      <c r="G292" s="100"/>
      <c r="H292" s="100"/>
      <c r="I292" s="100"/>
      <c r="J292" s="100"/>
      <c r="K292" s="100"/>
      <c r="L292" s="100"/>
      <c r="M292" s="100"/>
      <c r="N292" s="100"/>
      <c r="O292" s="100"/>
      <c r="P292" s="100"/>
      <c r="Q292" s="100"/>
      <c r="R292" s="100"/>
      <c r="S292" s="100"/>
      <c r="T292" s="100"/>
      <c r="U292" s="100"/>
      <c r="V292" s="100"/>
      <c r="W292" s="100"/>
      <c r="X292" s="100"/>
      <c r="Y292" s="100"/>
      <c r="Z292" s="6"/>
    </row>
    <row r="293" ht="48.0" customHeight="1">
      <c r="A293" s="51" t="s">
        <v>762</v>
      </c>
      <c r="B293" s="62" t="s">
        <v>763</v>
      </c>
      <c r="C293" s="66"/>
      <c r="D293" s="77"/>
      <c r="E293" s="65" t="s">
        <v>715</v>
      </c>
      <c r="F293" s="99"/>
      <c r="G293" s="100"/>
      <c r="H293" s="100"/>
      <c r="I293" s="100"/>
      <c r="J293" s="100"/>
      <c r="K293" s="100"/>
      <c r="L293" s="100"/>
      <c r="M293" s="100"/>
      <c r="N293" s="100"/>
      <c r="O293" s="100"/>
      <c r="P293" s="100"/>
      <c r="Q293" s="100"/>
      <c r="R293" s="100"/>
      <c r="S293" s="100"/>
      <c r="T293" s="100"/>
      <c r="U293" s="100"/>
      <c r="V293" s="100"/>
      <c r="W293" s="100"/>
      <c r="X293" s="100"/>
      <c r="Y293" s="100"/>
      <c r="Z293" s="6"/>
    </row>
    <row r="294" ht="48.0" customHeight="1">
      <c r="A294" s="51" t="s">
        <v>764</v>
      </c>
      <c r="B294" s="62" t="s">
        <v>765</v>
      </c>
      <c r="C294" s="66"/>
      <c r="D294" s="77"/>
      <c r="E294" s="65" t="s">
        <v>715</v>
      </c>
      <c r="F294" s="99"/>
      <c r="G294" s="100"/>
      <c r="H294" s="100"/>
      <c r="I294" s="100"/>
      <c r="J294" s="100"/>
      <c r="K294" s="100"/>
      <c r="L294" s="100"/>
      <c r="M294" s="100"/>
      <c r="N294" s="100"/>
      <c r="O294" s="100"/>
      <c r="P294" s="100"/>
      <c r="Q294" s="100"/>
      <c r="R294" s="100"/>
      <c r="S294" s="100"/>
      <c r="T294" s="100"/>
      <c r="U294" s="100"/>
      <c r="V294" s="100"/>
      <c r="W294" s="100"/>
      <c r="X294" s="100"/>
      <c r="Y294" s="100"/>
      <c r="Z294" s="6"/>
    </row>
    <row r="295" ht="48.0" customHeight="1">
      <c r="A295" s="51" t="s">
        <v>766</v>
      </c>
      <c r="B295" s="62" t="s">
        <v>767</v>
      </c>
      <c r="C295" s="66"/>
      <c r="D295" s="77"/>
      <c r="E295" s="65" t="s">
        <v>715</v>
      </c>
      <c r="F295" s="99"/>
      <c r="G295" s="100"/>
      <c r="H295" s="100"/>
      <c r="I295" s="100"/>
      <c r="J295" s="100"/>
      <c r="K295" s="100"/>
      <c r="L295" s="100"/>
      <c r="M295" s="100"/>
      <c r="N295" s="100"/>
      <c r="O295" s="100"/>
      <c r="P295" s="100"/>
      <c r="Q295" s="100"/>
      <c r="R295" s="100"/>
      <c r="S295" s="100"/>
      <c r="T295" s="100"/>
      <c r="U295" s="100"/>
      <c r="V295" s="100"/>
      <c r="W295" s="100"/>
      <c r="X295" s="100"/>
      <c r="Y295" s="100"/>
      <c r="Z295" s="6"/>
    </row>
    <row r="296" ht="48.0" customHeight="1">
      <c r="A296" s="51" t="s">
        <v>768</v>
      </c>
      <c r="B296" s="62" t="s">
        <v>769</v>
      </c>
      <c r="C296" s="66"/>
      <c r="D296" s="77"/>
      <c r="E296" s="65" t="s">
        <v>715</v>
      </c>
      <c r="F296" s="99"/>
      <c r="G296" s="100"/>
      <c r="H296" s="100"/>
      <c r="I296" s="100"/>
      <c r="J296" s="100"/>
      <c r="K296" s="100"/>
      <c r="L296" s="100"/>
      <c r="M296" s="100"/>
      <c r="N296" s="100"/>
      <c r="O296" s="100"/>
      <c r="P296" s="100"/>
      <c r="Q296" s="100"/>
      <c r="R296" s="100"/>
      <c r="S296" s="100"/>
      <c r="T296" s="100"/>
      <c r="U296" s="100"/>
      <c r="V296" s="100"/>
      <c r="W296" s="100"/>
      <c r="X296" s="100"/>
      <c r="Y296" s="100"/>
      <c r="Z296" s="6"/>
    </row>
    <row r="297" ht="48.0" customHeight="1">
      <c r="A297" s="51" t="s">
        <v>770</v>
      </c>
      <c r="B297" s="62" t="s">
        <v>771</v>
      </c>
      <c r="C297" s="66"/>
      <c r="D297" s="77"/>
      <c r="E297" s="65" t="s">
        <v>715</v>
      </c>
      <c r="F297" s="99"/>
      <c r="G297" s="100"/>
      <c r="H297" s="100"/>
      <c r="I297" s="100"/>
      <c r="J297" s="100"/>
      <c r="K297" s="100"/>
      <c r="L297" s="100"/>
      <c r="M297" s="100"/>
      <c r="N297" s="100"/>
      <c r="O297" s="100"/>
      <c r="P297" s="100"/>
      <c r="Q297" s="100"/>
      <c r="R297" s="100"/>
      <c r="S297" s="100"/>
      <c r="T297" s="100"/>
      <c r="U297" s="100"/>
      <c r="V297" s="100"/>
      <c r="W297" s="100"/>
      <c r="X297" s="100"/>
      <c r="Y297" s="100"/>
      <c r="Z297" s="6"/>
    </row>
    <row r="298" ht="48.0" customHeight="1">
      <c r="A298" s="51" t="s">
        <v>772</v>
      </c>
      <c r="B298" s="62" t="s">
        <v>773</v>
      </c>
      <c r="C298" s="66"/>
      <c r="D298" s="77"/>
      <c r="E298" s="65" t="s">
        <v>715</v>
      </c>
      <c r="F298" s="99"/>
      <c r="G298" s="100"/>
      <c r="H298" s="100"/>
      <c r="I298" s="100"/>
      <c r="J298" s="100"/>
      <c r="K298" s="100"/>
      <c r="L298" s="100"/>
      <c r="M298" s="100"/>
      <c r="N298" s="100"/>
      <c r="O298" s="100"/>
      <c r="P298" s="100"/>
      <c r="Q298" s="100"/>
      <c r="R298" s="100"/>
      <c r="S298" s="100"/>
      <c r="T298" s="100"/>
      <c r="U298" s="100"/>
      <c r="V298" s="100"/>
      <c r="W298" s="100"/>
      <c r="X298" s="100"/>
      <c r="Y298" s="100"/>
      <c r="Z298" s="6"/>
    </row>
    <row r="299" ht="46.5" customHeight="1">
      <c r="A299" s="51" t="s">
        <v>774</v>
      </c>
      <c r="B299" s="62" t="s">
        <v>775</v>
      </c>
      <c r="C299" s="66"/>
      <c r="D299" s="77"/>
      <c r="E299" s="65" t="s">
        <v>715</v>
      </c>
      <c r="F299" s="99"/>
      <c r="G299" s="100"/>
      <c r="H299" s="100"/>
      <c r="I299" s="100"/>
      <c r="J299" s="100"/>
      <c r="K299" s="100"/>
      <c r="L299" s="100"/>
      <c r="M299" s="100"/>
      <c r="N299" s="100"/>
      <c r="O299" s="100"/>
      <c r="P299" s="100"/>
      <c r="Q299" s="100"/>
      <c r="R299" s="100"/>
      <c r="S299" s="100"/>
      <c r="T299" s="100"/>
      <c r="U299" s="100"/>
      <c r="V299" s="100"/>
      <c r="W299" s="100"/>
      <c r="X299" s="100"/>
      <c r="Y299" s="100"/>
      <c r="Z299" s="6"/>
    </row>
    <row r="300" ht="36.0" customHeight="1">
      <c r="A300" s="45" t="str">
        <f>IF(OR($C$29="No",$C$30="Yes"),"PCI DSS - Optional based on QUALIFIER response.","PCI DSS")</f>
        <v>PCI DSS - Optional based on QUALIFIER response.</v>
      </c>
      <c r="B300" s="14"/>
      <c r="C300" s="60" t="s">
        <v>79</v>
      </c>
      <c r="D300" s="60" t="s">
        <v>80</v>
      </c>
      <c r="E300" s="61" t="s">
        <v>81</v>
      </c>
      <c r="F300" s="99"/>
      <c r="G300" s="100"/>
      <c r="H300" s="100"/>
      <c r="I300" s="100"/>
      <c r="J300" s="100"/>
      <c r="K300" s="100"/>
      <c r="L300" s="100"/>
      <c r="M300" s="100"/>
      <c r="N300" s="100"/>
      <c r="O300" s="100"/>
      <c r="P300" s="100"/>
      <c r="Q300" s="100"/>
      <c r="R300" s="100"/>
      <c r="S300" s="100"/>
      <c r="T300" s="100"/>
      <c r="U300" s="100"/>
      <c r="V300" s="100"/>
      <c r="W300" s="100"/>
      <c r="X300" s="100"/>
      <c r="Y300" s="100"/>
      <c r="Z300" s="6"/>
    </row>
    <row r="301" ht="48.0" customHeight="1">
      <c r="A301" s="51" t="s">
        <v>776</v>
      </c>
      <c r="B301" s="62" t="s">
        <v>777</v>
      </c>
      <c r="C301" s="66"/>
      <c r="D301" s="77"/>
      <c r="E301" s="65" t="s">
        <v>778</v>
      </c>
      <c r="F301" s="99"/>
      <c r="G301" s="100"/>
      <c r="H301" s="100"/>
      <c r="I301" s="100"/>
      <c r="J301" s="100"/>
      <c r="K301" s="100"/>
      <c r="L301" s="100"/>
      <c r="M301" s="100"/>
      <c r="N301" s="100"/>
      <c r="O301" s="100"/>
      <c r="P301" s="100"/>
      <c r="Q301" s="100"/>
      <c r="R301" s="100"/>
      <c r="S301" s="100"/>
      <c r="T301" s="100"/>
      <c r="U301" s="100"/>
      <c r="V301" s="100"/>
      <c r="W301" s="100"/>
      <c r="X301" s="100"/>
      <c r="Y301" s="100"/>
      <c r="Z301" s="6"/>
    </row>
    <row r="302" ht="48.0" customHeight="1">
      <c r="A302" s="51" t="s">
        <v>779</v>
      </c>
      <c r="B302" s="62" t="s">
        <v>780</v>
      </c>
      <c r="C302" s="66"/>
      <c r="D302" s="77"/>
      <c r="E302" s="65" t="s">
        <v>778</v>
      </c>
      <c r="F302" s="99"/>
      <c r="G302" s="100"/>
      <c r="H302" s="100"/>
      <c r="I302" s="100"/>
      <c r="J302" s="100"/>
      <c r="K302" s="100"/>
      <c r="L302" s="100"/>
      <c r="M302" s="100"/>
      <c r="N302" s="100"/>
      <c r="O302" s="100"/>
      <c r="P302" s="100"/>
      <c r="Q302" s="100"/>
      <c r="R302" s="100"/>
      <c r="S302" s="100"/>
      <c r="T302" s="100"/>
      <c r="U302" s="100"/>
      <c r="V302" s="100"/>
      <c r="W302" s="100"/>
      <c r="X302" s="100"/>
      <c r="Y302" s="100"/>
      <c r="Z302" s="6"/>
    </row>
    <row r="303" ht="48.0" customHeight="1">
      <c r="A303" s="51" t="s">
        <v>781</v>
      </c>
      <c r="B303" s="62" t="s">
        <v>782</v>
      </c>
      <c r="C303" s="66"/>
      <c r="D303" s="77"/>
      <c r="E303" s="65" t="s">
        <v>778</v>
      </c>
      <c r="F303" s="99"/>
      <c r="G303" s="100"/>
      <c r="H303" s="100"/>
      <c r="I303" s="100"/>
      <c r="J303" s="100"/>
      <c r="K303" s="100"/>
      <c r="L303" s="100"/>
      <c r="M303" s="100"/>
      <c r="N303" s="100"/>
      <c r="O303" s="100"/>
      <c r="P303" s="100"/>
      <c r="Q303" s="100"/>
      <c r="R303" s="100"/>
      <c r="S303" s="100"/>
      <c r="T303" s="100"/>
      <c r="U303" s="100"/>
      <c r="V303" s="100"/>
      <c r="W303" s="100"/>
      <c r="X303" s="100"/>
      <c r="Y303" s="100"/>
      <c r="Z303" s="6"/>
    </row>
    <row r="304" ht="48.0" customHeight="1">
      <c r="A304" s="51" t="s">
        <v>783</v>
      </c>
      <c r="B304" s="62" t="s">
        <v>784</v>
      </c>
      <c r="C304" s="66"/>
      <c r="D304" s="77"/>
      <c r="E304" s="65" t="s">
        <v>778</v>
      </c>
      <c r="F304" s="99"/>
      <c r="G304" s="100"/>
      <c r="H304" s="100"/>
      <c r="I304" s="100"/>
      <c r="J304" s="100"/>
      <c r="K304" s="100"/>
      <c r="L304" s="100"/>
      <c r="M304" s="100"/>
      <c r="N304" s="100"/>
      <c r="O304" s="100"/>
      <c r="P304" s="100"/>
      <c r="Q304" s="100"/>
      <c r="R304" s="100"/>
      <c r="S304" s="100"/>
      <c r="T304" s="100"/>
      <c r="U304" s="100"/>
      <c r="V304" s="100"/>
      <c r="W304" s="100"/>
      <c r="X304" s="100"/>
      <c r="Y304" s="100"/>
      <c r="Z304" s="6"/>
    </row>
    <row r="305" ht="48.0" customHeight="1">
      <c r="A305" s="51" t="s">
        <v>785</v>
      </c>
      <c r="B305" s="62" t="s">
        <v>786</v>
      </c>
      <c r="C305" s="66"/>
      <c r="D305" s="77"/>
      <c r="E305" s="65" t="s">
        <v>778</v>
      </c>
      <c r="F305" s="99"/>
      <c r="G305" s="100"/>
      <c r="H305" s="100"/>
      <c r="I305" s="100"/>
      <c r="J305" s="100"/>
      <c r="K305" s="100"/>
      <c r="L305" s="100"/>
      <c r="M305" s="100"/>
      <c r="N305" s="100"/>
      <c r="O305" s="100"/>
      <c r="P305" s="100"/>
      <c r="Q305" s="100"/>
      <c r="R305" s="100"/>
      <c r="S305" s="100"/>
      <c r="T305" s="100"/>
      <c r="U305" s="100"/>
      <c r="V305" s="100"/>
      <c r="W305" s="100"/>
      <c r="X305" s="100"/>
      <c r="Y305" s="100"/>
      <c r="Z305" s="6"/>
    </row>
    <row r="306" ht="48.0" customHeight="1">
      <c r="A306" s="51" t="s">
        <v>787</v>
      </c>
      <c r="B306" s="62" t="s">
        <v>788</v>
      </c>
      <c r="C306" s="66"/>
      <c r="D306" s="77"/>
      <c r="E306" s="65" t="s">
        <v>778</v>
      </c>
      <c r="F306" s="99"/>
      <c r="G306" s="100"/>
      <c r="H306" s="100"/>
      <c r="I306" s="100"/>
      <c r="J306" s="100"/>
      <c r="K306" s="100"/>
      <c r="L306" s="100"/>
      <c r="M306" s="100"/>
      <c r="N306" s="100"/>
      <c r="O306" s="100"/>
      <c r="P306" s="100"/>
      <c r="Q306" s="100"/>
      <c r="R306" s="100"/>
      <c r="S306" s="100"/>
      <c r="T306" s="100"/>
      <c r="U306" s="100"/>
      <c r="V306" s="100"/>
      <c r="W306" s="100"/>
      <c r="X306" s="100"/>
      <c r="Y306" s="100"/>
      <c r="Z306" s="6"/>
    </row>
    <row r="307" ht="63.75" customHeight="1">
      <c r="A307" s="51" t="s">
        <v>789</v>
      </c>
      <c r="B307" s="62" t="s">
        <v>790</v>
      </c>
      <c r="C307" s="111"/>
      <c r="D307" s="14"/>
      <c r="E307" s="65" t="s">
        <v>778</v>
      </c>
      <c r="F307" s="99"/>
      <c r="G307" s="100"/>
      <c r="H307" s="100"/>
      <c r="I307" s="100"/>
      <c r="J307" s="100"/>
      <c r="K307" s="100"/>
      <c r="L307" s="100"/>
      <c r="M307" s="100"/>
      <c r="N307" s="100"/>
      <c r="O307" s="100"/>
      <c r="P307" s="100"/>
      <c r="Q307" s="100"/>
      <c r="R307" s="100"/>
      <c r="S307" s="100"/>
      <c r="T307" s="100"/>
      <c r="U307" s="100"/>
      <c r="V307" s="100"/>
      <c r="W307" s="100"/>
      <c r="X307" s="100"/>
      <c r="Y307" s="100"/>
      <c r="Z307" s="6"/>
    </row>
    <row r="308" ht="63.75" customHeight="1">
      <c r="A308" s="51" t="s">
        <v>791</v>
      </c>
      <c r="B308" s="62" t="s">
        <v>792</v>
      </c>
      <c r="C308" s="111"/>
      <c r="D308" s="14"/>
      <c r="E308" s="65" t="s">
        <v>778</v>
      </c>
      <c r="F308" s="99"/>
      <c r="G308" s="100"/>
      <c r="H308" s="100"/>
      <c r="I308" s="100"/>
      <c r="J308" s="100"/>
      <c r="K308" s="100"/>
      <c r="L308" s="100"/>
      <c r="M308" s="100"/>
      <c r="N308" s="100"/>
      <c r="O308" s="100"/>
      <c r="P308" s="100"/>
      <c r="Q308" s="100"/>
      <c r="R308" s="100"/>
      <c r="S308" s="100"/>
      <c r="T308" s="100"/>
      <c r="U308" s="100"/>
      <c r="V308" s="100"/>
      <c r="W308" s="100"/>
      <c r="X308" s="100"/>
      <c r="Y308" s="100"/>
      <c r="Z308" s="6"/>
    </row>
    <row r="309" ht="48.0" customHeight="1">
      <c r="A309" s="51" t="s">
        <v>793</v>
      </c>
      <c r="B309" s="62" t="s">
        <v>794</v>
      </c>
      <c r="C309" s="66"/>
      <c r="D309" s="77"/>
      <c r="E309" s="65" t="s">
        <v>778</v>
      </c>
      <c r="F309" s="99"/>
      <c r="G309" s="100"/>
      <c r="H309" s="100"/>
      <c r="I309" s="100"/>
      <c r="J309" s="100"/>
      <c r="K309" s="100"/>
      <c r="L309" s="100"/>
      <c r="M309" s="100"/>
      <c r="N309" s="100"/>
      <c r="O309" s="100"/>
      <c r="P309" s="100"/>
      <c r="Q309" s="100"/>
      <c r="R309" s="100"/>
      <c r="S309" s="100"/>
      <c r="T309" s="100"/>
      <c r="U309" s="100"/>
      <c r="V309" s="100"/>
      <c r="W309" s="100"/>
      <c r="X309" s="100"/>
      <c r="Y309" s="100"/>
      <c r="Z309" s="6"/>
    </row>
    <row r="310" ht="48.0" customHeight="1">
      <c r="A310" s="51" t="s">
        <v>795</v>
      </c>
      <c r="B310" s="62" t="s">
        <v>796</v>
      </c>
      <c r="C310" s="66"/>
      <c r="D310" s="77"/>
      <c r="E310" s="65" t="s">
        <v>778</v>
      </c>
      <c r="F310" s="99"/>
      <c r="G310" s="100"/>
      <c r="H310" s="100"/>
      <c r="I310" s="100"/>
      <c r="J310" s="100"/>
      <c r="K310" s="100"/>
      <c r="L310" s="100"/>
      <c r="M310" s="100"/>
      <c r="N310" s="100"/>
      <c r="O310" s="100"/>
      <c r="P310" s="100"/>
      <c r="Q310" s="100"/>
      <c r="R310" s="100"/>
      <c r="S310" s="100"/>
      <c r="T310" s="100"/>
      <c r="U310" s="100"/>
      <c r="V310" s="100"/>
      <c r="W310" s="100"/>
      <c r="X310" s="100"/>
      <c r="Y310" s="100"/>
      <c r="Z310" s="6"/>
    </row>
    <row r="311" ht="54.0" customHeight="1">
      <c r="A311" s="51" t="s">
        <v>797</v>
      </c>
      <c r="B311" s="62" t="s">
        <v>798</v>
      </c>
      <c r="C311" s="66"/>
      <c r="D311" s="77"/>
      <c r="E311" s="65" t="str">
        <f>IF(C311="","",IF(C311="Yes","State the providors name and provide a current copy of their AoC or RoC.","Refer to PCI DSS Security Standards for supplemental guidance in this section"))</f>
        <v/>
      </c>
      <c r="F311" s="99"/>
      <c r="G311" s="100"/>
      <c r="H311" s="100"/>
      <c r="I311" s="100"/>
      <c r="J311" s="100"/>
      <c r="K311" s="100"/>
      <c r="L311" s="100"/>
      <c r="M311" s="100"/>
      <c r="N311" s="100"/>
      <c r="O311" s="100"/>
      <c r="P311" s="100"/>
      <c r="Q311" s="100"/>
      <c r="R311" s="100"/>
      <c r="S311" s="100"/>
      <c r="T311" s="100"/>
      <c r="U311" s="100"/>
      <c r="V311" s="100"/>
      <c r="W311" s="100"/>
      <c r="X311" s="100"/>
      <c r="Y311" s="100"/>
      <c r="Z311" s="6"/>
    </row>
    <row r="312" ht="63.75" customHeight="1">
      <c r="A312" s="51" t="s">
        <v>799</v>
      </c>
      <c r="B312" s="62" t="s">
        <v>800</v>
      </c>
      <c r="C312" s="111"/>
      <c r="D312" s="14"/>
      <c r="E312" s="65" t="s">
        <v>778</v>
      </c>
      <c r="F312" s="113"/>
      <c r="G312" s="114"/>
      <c r="H312" s="114"/>
      <c r="I312" s="114"/>
      <c r="J312" s="114"/>
      <c r="K312" s="114"/>
      <c r="L312" s="114"/>
      <c r="M312" s="114"/>
      <c r="N312" s="114"/>
      <c r="O312" s="114"/>
      <c r="P312" s="114"/>
      <c r="Q312" s="114"/>
      <c r="R312" s="114"/>
      <c r="S312" s="114"/>
      <c r="T312" s="114"/>
      <c r="U312" s="114"/>
      <c r="V312" s="114"/>
      <c r="W312" s="114"/>
      <c r="X312" s="114"/>
      <c r="Y312" s="114"/>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85">
    <mergeCell ref="C115:D115"/>
    <mergeCell ref="C116:D116"/>
    <mergeCell ref="A126:B126"/>
    <mergeCell ref="C133:D133"/>
    <mergeCell ref="C140:D140"/>
    <mergeCell ref="C142:D142"/>
    <mergeCell ref="A155:B155"/>
    <mergeCell ref="A158:B158"/>
    <mergeCell ref="C168:D168"/>
    <mergeCell ref="C175:D175"/>
    <mergeCell ref="C176:D176"/>
    <mergeCell ref="A178:B178"/>
    <mergeCell ref="C179:D179"/>
    <mergeCell ref="C187:D187"/>
    <mergeCell ref="A192:B192"/>
    <mergeCell ref="C195:D195"/>
    <mergeCell ref="C203:D203"/>
    <mergeCell ref="A205:B205"/>
    <mergeCell ref="C206:D206"/>
    <mergeCell ref="C207:D207"/>
    <mergeCell ref="C216:D216"/>
    <mergeCell ref="C264:D264"/>
    <mergeCell ref="C266:D266"/>
    <mergeCell ref="A268:B268"/>
    <mergeCell ref="C291:D291"/>
    <mergeCell ref="A300:B300"/>
    <mergeCell ref="C307:D307"/>
    <mergeCell ref="C308:D308"/>
    <mergeCell ref="C312:D312"/>
    <mergeCell ref="A217:B217"/>
    <mergeCell ref="A223:B223"/>
    <mergeCell ref="A244:B244"/>
    <mergeCell ref="A247:B247"/>
    <mergeCell ref="C248:D248"/>
    <mergeCell ref="A253:B253"/>
    <mergeCell ref="A258:B258"/>
    <mergeCell ref="A1:D1"/>
    <mergeCell ref="A2:E2"/>
    <mergeCell ref="C3:E3"/>
    <mergeCell ref="A4:B4"/>
    <mergeCell ref="A5:E5"/>
    <mergeCell ref="A6:E6"/>
    <mergeCell ref="C7:E7"/>
    <mergeCell ref="C8:E8"/>
    <mergeCell ref="C9:E9"/>
    <mergeCell ref="C10:E10"/>
    <mergeCell ref="C11:E11"/>
    <mergeCell ref="C12:E12"/>
    <mergeCell ref="C13:E13"/>
    <mergeCell ref="C14:E14"/>
    <mergeCell ref="C15:E15"/>
    <mergeCell ref="C16:E16"/>
    <mergeCell ref="A17:E17"/>
    <mergeCell ref="C18:E18"/>
    <mergeCell ref="C19:E19"/>
    <mergeCell ref="A20:B20"/>
    <mergeCell ref="A21:E21"/>
    <mergeCell ref="A22:B22"/>
    <mergeCell ref="A23:E23"/>
    <mergeCell ref="A31:B31"/>
    <mergeCell ref="A38:B38"/>
    <mergeCell ref="C39:D39"/>
    <mergeCell ref="C40:D40"/>
    <mergeCell ref="A46:B46"/>
    <mergeCell ref="C45:D45"/>
    <mergeCell ref="C47:D47"/>
    <mergeCell ref="C48:D48"/>
    <mergeCell ref="C49:D49"/>
    <mergeCell ref="C50:D50"/>
    <mergeCell ref="A51:B51"/>
    <mergeCell ref="A61:B61"/>
    <mergeCell ref="C68:D68"/>
    <mergeCell ref="C70:D70"/>
    <mergeCell ref="C71:D71"/>
    <mergeCell ref="C73:D73"/>
    <mergeCell ref="C76:D76"/>
    <mergeCell ref="C77:D77"/>
    <mergeCell ref="A79:B79"/>
    <mergeCell ref="C78:D78"/>
    <mergeCell ref="C95:D95"/>
    <mergeCell ref="C96:D96"/>
    <mergeCell ref="A97:B97"/>
    <mergeCell ref="C98:D98"/>
    <mergeCell ref="A110:B110"/>
    <mergeCell ref="C112:D112"/>
  </mergeCells>
  <dataValidations>
    <dataValidation type="list" allowBlank="1" showErrorMessage="1" sqref="C165">
      <formula1>"Exclusive VLAN,Shared VLAN,Physically Separate,Flat Shared Network,Other"</formula1>
    </dataValidation>
    <dataValidation type="list" allowBlank="1" showErrorMessage="1" sqref="C171">
      <formula1>"Tier I,Tier II,Tier III,Tier IV,N/A"</formula1>
    </dataValidation>
    <dataValidation type="list" allowBlank="1" showErrorMessage="1" sqref="C24:C30 C32:C37 C41:C44 C52:C60 C62:C67 C69 C72 C74:C75 C80:C94 C99:C109 C111 C113:C114 C117:C125 C127:C132 C134:C139 C141 C143:C154 C156:C157 C159:C164 C166:C167 C169:C170 C172:C174 C177 C180:C186 C188:C191 C193:C194 C196:C202 C204 C208:C215 C218:C222 C224:C243 C245:C246 C249:C252 C254:C257 C259:C263 C265 C267 C269:C290 C292:C299 C301:C306 C309:C311">
      <formula1>"Yes,No"</formula1>
    </dataValidation>
  </dataValidations>
  <hyperlinks>
    <hyperlink r:id="rId2" ref="C10"/>
    <hyperlink r:id="rId3" ref="C13"/>
    <hyperlink r:id="rId4" ref="D33"/>
    <hyperlink r:id="rId5" ref="D37"/>
    <hyperlink r:id="rId6" ref="C49"/>
    <hyperlink r:id="rId7" ref="D65"/>
    <hyperlink r:id="rId8" ref="D66"/>
    <hyperlink r:id="rId9" ref="C71"/>
    <hyperlink r:id="rId10" ref="C76"/>
    <hyperlink r:id="rId11" ref="C77"/>
    <hyperlink r:id="rId12" ref="C78"/>
    <hyperlink r:id="rId13" ref="D87"/>
    <hyperlink r:id="rId14" ref="D111"/>
    <hyperlink r:id="rId15" ref="D123"/>
    <hyperlink r:id="rId16" ref="D125"/>
    <hyperlink r:id="rId17" ref="D137"/>
    <hyperlink r:id="rId18" ref="D144"/>
    <hyperlink r:id="rId19" ref="D160"/>
    <hyperlink r:id="rId20" ref="D164"/>
    <hyperlink r:id="rId21" ref="D197"/>
    <hyperlink r:id="rId22" ref="D198"/>
    <hyperlink r:id="rId23" ref="D199"/>
    <hyperlink r:id="rId24" ref="D200"/>
    <hyperlink r:id="rId25" ref="D224"/>
    <hyperlink r:id="rId26" ref="D225"/>
    <hyperlink r:id="rId27" ref="D232"/>
    <hyperlink r:id="rId28" ref="D239"/>
    <hyperlink r:id="rId29" ref="D241"/>
    <hyperlink r:id="rId30" ref="D242"/>
    <hyperlink r:id="rId31" ref="D243"/>
    <hyperlink r:id="rId32" ref="D257"/>
    <hyperlink r:id="rId33" ref="D262"/>
  </hyperlinks>
  <printOptions/>
  <pageMargins bottom="1.0" footer="0.0" header="0.0" left="0.75" right="0.75" top="1.0"/>
  <pageSetup orientation="landscape"/>
  <headerFooter>
    <oddFooter>&amp;L000000	&amp;P</oddFooter>
  </headerFooter>
  <drawing r:id="rId34"/>
  <legacyDrawing r:id="rId3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8.22"/>
    <col customWidth="1" min="2" max="2" width="58.44"/>
    <col customWidth="1" min="3" max="7" width="24.67"/>
    <col customWidth="1" min="8" max="8" width="26.67"/>
    <col customWidth="1" min="9" max="9" width="12.0"/>
    <col customWidth="1" min="10" max="29" width="6.67"/>
  </cols>
  <sheetData>
    <row r="1" ht="36.0" customHeight="1">
      <c r="A1" s="115" t="s">
        <v>801</v>
      </c>
      <c r="B1" s="40"/>
      <c r="C1" s="40"/>
      <c r="D1" s="40"/>
      <c r="E1" s="40"/>
      <c r="F1" s="40"/>
      <c r="G1" s="40"/>
      <c r="H1" s="40"/>
      <c r="I1" s="14"/>
      <c r="J1" s="3"/>
      <c r="K1" s="4"/>
      <c r="L1" s="4"/>
      <c r="M1" s="4"/>
      <c r="N1" s="4"/>
      <c r="O1" s="4"/>
      <c r="P1" s="4"/>
      <c r="Q1" s="4"/>
      <c r="R1" s="4"/>
      <c r="S1" s="4"/>
      <c r="T1" s="4"/>
      <c r="U1" s="4"/>
      <c r="V1" s="6"/>
      <c r="W1" s="6"/>
      <c r="X1" s="6"/>
      <c r="Y1" s="6"/>
      <c r="Z1" s="6"/>
      <c r="AA1" s="6"/>
      <c r="AB1" s="6"/>
      <c r="AC1" s="6"/>
    </row>
    <row r="2" ht="24.0" customHeight="1">
      <c r="A2" s="42" t="s">
        <v>37</v>
      </c>
      <c r="B2" s="40"/>
      <c r="C2" s="40"/>
      <c r="D2" s="40"/>
      <c r="E2" s="40"/>
      <c r="F2" s="40"/>
      <c r="G2" s="40"/>
      <c r="H2" s="14"/>
      <c r="I2" s="116"/>
      <c r="J2" s="7"/>
      <c r="K2" s="9"/>
      <c r="L2" s="9"/>
      <c r="M2" s="9"/>
      <c r="N2" s="9"/>
      <c r="O2" s="9"/>
      <c r="P2" s="9"/>
      <c r="Q2" s="9"/>
      <c r="R2" s="9"/>
      <c r="S2" s="9"/>
      <c r="T2" s="9"/>
      <c r="U2" s="9"/>
      <c r="V2" s="6"/>
      <c r="W2" s="6"/>
      <c r="X2" s="6"/>
      <c r="Y2" s="6"/>
      <c r="Z2" s="6"/>
      <c r="AA2" s="6"/>
      <c r="AB2" s="6"/>
      <c r="AC2" s="6"/>
    </row>
    <row r="3" ht="7.5" customHeight="1">
      <c r="A3" s="117"/>
      <c r="B3" s="117"/>
      <c r="C3" s="117"/>
      <c r="D3" s="117"/>
      <c r="E3" s="117"/>
      <c r="F3" s="117"/>
      <c r="G3" s="117"/>
      <c r="H3" s="117"/>
      <c r="I3" s="118"/>
      <c r="J3" s="56"/>
      <c r="K3" s="57"/>
      <c r="L3" s="57"/>
      <c r="M3" s="57"/>
      <c r="N3" s="57"/>
      <c r="O3" s="57"/>
      <c r="P3" s="57"/>
      <c r="Q3" s="57"/>
      <c r="R3" s="57"/>
      <c r="S3" s="57"/>
      <c r="T3" s="57"/>
      <c r="U3" s="57"/>
      <c r="V3" s="6"/>
      <c r="W3" s="6"/>
      <c r="X3" s="6"/>
      <c r="Y3" s="6"/>
      <c r="Z3" s="6"/>
      <c r="AA3" s="6"/>
      <c r="AB3" s="6"/>
      <c r="AC3" s="6"/>
    </row>
    <row r="4" ht="7.5" customHeight="1">
      <c r="A4" s="117"/>
      <c r="B4" s="117"/>
      <c r="C4" s="117"/>
      <c r="D4" s="117"/>
      <c r="E4" s="117"/>
      <c r="F4" s="117"/>
      <c r="G4" s="117"/>
      <c r="H4" s="117"/>
      <c r="I4" s="118"/>
      <c r="J4" s="56"/>
      <c r="K4" s="57"/>
      <c r="L4" s="57"/>
      <c r="M4" s="57"/>
      <c r="N4" s="57"/>
      <c r="O4" s="57"/>
      <c r="P4" s="57"/>
      <c r="Q4" s="57"/>
      <c r="R4" s="57"/>
      <c r="S4" s="57"/>
      <c r="T4" s="57"/>
      <c r="U4" s="57"/>
      <c r="V4" s="6"/>
      <c r="W4" s="6"/>
      <c r="X4" s="6"/>
      <c r="Y4" s="6"/>
      <c r="Z4" s="6"/>
      <c r="AA4" s="6"/>
      <c r="AB4" s="6"/>
      <c r="AC4" s="6"/>
    </row>
    <row r="5" ht="7.5" customHeight="1">
      <c r="A5" s="117"/>
      <c r="B5" s="117"/>
      <c r="C5" s="117"/>
      <c r="D5" s="117"/>
      <c r="E5" s="117"/>
      <c r="F5" s="117"/>
      <c r="G5" s="117"/>
      <c r="H5" s="117"/>
      <c r="I5" s="118"/>
      <c r="J5" s="56"/>
      <c r="K5" s="57"/>
      <c r="L5" s="57"/>
      <c r="M5" s="57"/>
      <c r="N5" s="57"/>
      <c r="O5" s="57"/>
      <c r="P5" s="57"/>
      <c r="Q5" s="57"/>
      <c r="R5" s="57"/>
      <c r="S5" s="57"/>
      <c r="T5" s="57"/>
      <c r="U5" s="57"/>
      <c r="V5" s="57"/>
      <c r="W5" s="57"/>
      <c r="X5" s="57"/>
      <c r="Y5" s="57"/>
      <c r="Z5" s="57"/>
      <c r="AA5" s="57"/>
      <c r="AB5" s="57"/>
      <c r="AC5" s="57"/>
    </row>
    <row r="6" ht="7.5" customHeight="1">
      <c r="A6" s="117"/>
      <c r="B6" s="117"/>
      <c r="C6" s="117"/>
      <c r="D6" s="117"/>
      <c r="E6" s="117"/>
      <c r="F6" s="117"/>
      <c r="G6" s="117"/>
      <c r="H6" s="117"/>
      <c r="I6" s="118"/>
      <c r="J6" s="56"/>
      <c r="K6" s="57"/>
      <c r="L6" s="57"/>
      <c r="M6" s="57"/>
      <c r="N6" s="57"/>
      <c r="O6" s="57"/>
      <c r="P6" s="57"/>
      <c r="Q6" s="57"/>
      <c r="R6" s="57"/>
      <c r="S6" s="57"/>
      <c r="T6" s="57"/>
      <c r="U6" s="57"/>
      <c r="V6" s="57"/>
      <c r="W6" s="57"/>
      <c r="X6" s="57"/>
      <c r="Y6" s="57"/>
      <c r="Z6" s="57"/>
      <c r="AA6" s="57"/>
      <c r="AB6" s="57"/>
      <c r="AC6" s="57"/>
    </row>
    <row r="7" ht="7.5" customHeight="1">
      <c r="A7" s="117"/>
      <c r="B7" s="117"/>
      <c r="C7" s="117"/>
      <c r="D7" s="117"/>
      <c r="E7" s="117"/>
      <c r="F7" s="117"/>
      <c r="G7" s="117"/>
      <c r="H7" s="117"/>
      <c r="I7" s="118"/>
      <c r="J7" s="56"/>
      <c r="K7" s="57"/>
      <c r="L7" s="57"/>
      <c r="M7" s="57"/>
      <c r="N7" s="57"/>
      <c r="O7" s="57"/>
      <c r="P7" s="57"/>
      <c r="Q7" s="57"/>
      <c r="R7" s="57"/>
      <c r="S7" s="57"/>
      <c r="T7" s="57"/>
      <c r="U7" s="57"/>
      <c r="V7" s="57"/>
      <c r="W7" s="57"/>
      <c r="X7" s="57"/>
      <c r="Y7" s="57"/>
      <c r="Z7" s="57"/>
      <c r="AA7" s="57"/>
      <c r="AB7" s="57"/>
      <c r="AC7" s="57"/>
    </row>
    <row r="8" ht="7.5" customHeight="1">
      <c r="A8" s="117"/>
      <c r="B8" s="117"/>
      <c r="C8" s="117"/>
      <c r="D8" s="117"/>
      <c r="E8" s="117"/>
      <c r="F8" s="117"/>
      <c r="G8" s="117"/>
      <c r="H8" s="117"/>
      <c r="I8" s="118"/>
      <c r="J8" s="56"/>
      <c r="K8" s="57"/>
      <c r="L8" s="57"/>
      <c r="M8" s="57"/>
      <c r="N8" s="57"/>
      <c r="O8" s="57"/>
      <c r="P8" s="57"/>
      <c r="Q8" s="57"/>
      <c r="R8" s="57"/>
      <c r="S8" s="57"/>
      <c r="T8" s="57"/>
      <c r="U8" s="57"/>
      <c r="V8" s="57"/>
      <c r="W8" s="57"/>
      <c r="X8" s="57"/>
      <c r="Y8" s="57"/>
      <c r="Z8" s="57"/>
      <c r="AA8" s="57"/>
      <c r="AB8" s="57"/>
      <c r="AC8" s="57"/>
    </row>
    <row r="9" ht="7.5" customHeight="1">
      <c r="A9" s="117"/>
      <c r="B9" s="117"/>
      <c r="C9" s="117"/>
      <c r="D9" s="117"/>
      <c r="E9" s="117"/>
      <c r="F9" s="117"/>
      <c r="G9" s="117"/>
      <c r="H9" s="117"/>
      <c r="I9" s="118"/>
      <c r="J9" s="56"/>
      <c r="K9" s="57"/>
      <c r="L9" s="57"/>
      <c r="M9" s="57"/>
      <c r="N9" s="57"/>
      <c r="O9" s="57"/>
      <c r="P9" s="57"/>
      <c r="Q9" s="57"/>
      <c r="R9" s="57"/>
      <c r="S9" s="57"/>
      <c r="T9" s="57"/>
      <c r="U9" s="57"/>
      <c r="V9" s="57"/>
      <c r="W9" s="57"/>
      <c r="X9" s="57"/>
      <c r="Y9" s="57"/>
      <c r="Z9" s="57"/>
      <c r="AA9" s="57"/>
      <c r="AB9" s="57"/>
      <c r="AC9" s="57"/>
    </row>
    <row r="10" ht="7.5" customHeight="1">
      <c r="A10" s="117"/>
      <c r="B10" s="117"/>
      <c r="C10" s="117"/>
      <c r="D10" s="117"/>
      <c r="E10" s="117"/>
      <c r="F10" s="117"/>
      <c r="G10" s="117"/>
      <c r="H10" s="117"/>
      <c r="I10" s="118"/>
      <c r="J10" s="56"/>
      <c r="K10" s="57"/>
      <c r="L10" s="57"/>
      <c r="M10" s="57"/>
      <c r="N10" s="57"/>
      <c r="O10" s="57"/>
      <c r="P10" s="57"/>
      <c r="Q10" s="57"/>
      <c r="R10" s="57"/>
      <c r="S10" s="57"/>
      <c r="T10" s="57"/>
      <c r="U10" s="57"/>
      <c r="V10" s="57"/>
      <c r="W10" s="57"/>
      <c r="X10" s="57"/>
      <c r="Y10" s="57"/>
      <c r="Z10" s="57"/>
      <c r="AA10" s="57"/>
      <c r="AB10" s="57"/>
      <c r="AC10" s="57"/>
    </row>
    <row r="11" ht="7.5" customHeight="1">
      <c r="A11" s="117"/>
      <c r="B11" s="117"/>
      <c r="C11" s="117"/>
      <c r="D11" s="117"/>
      <c r="E11" s="117"/>
      <c r="F11" s="117"/>
      <c r="G11" s="117"/>
      <c r="H11" s="117"/>
      <c r="I11" s="118"/>
      <c r="J11" s="56"/>
      <c r="K11" s="57"/>
      <c r="L11" s="57"/>
      <c r="M11" s="57"/>
      <c r="N11" s="57"/>
      <c r="O11" s="57"/>
      <c r="P11" s="57"/>
      <c r="Q11" s="57"/>
      <c r="R11" s="57"/>
      <c r="S11" s="57"/>
      <c r="T11" s="57"/>
      <c r="U11" s="57"/>
      <c r="V11" s="57"/>
      <c r="W11" s="57"/>
      <c r="X11" s="57"/>
      <c r="Y11" s="57"/>
      <c r="Z11" s="57"/>
      <c r="AA11" s="57"/>
      <c r="AB11" s="57"/>
      <c r="AC11" s="57"/>
    </row>
    <row r="12" ht="7.5" customHeight="1">
      <c r="A12" s="117"/>
      <c r="B12" s="117"/>
      <c r="C12" s="117"/>
      <c r="D12" s="117"/>
      <c r="E12" s="117"/>
      <c r="F12" s="117"/>
      <c r="G12" s="117"/>
      <c r="H12" s="117"/>
      <c r="I12" s="118"/>
      <c r="J12" s="56"/>
      <c r="K12" s="57"/>
      <c r="L12" s="57"/>
      <c r="M12" s="57"/>
      <c r="N12" s="57"/>
      <c r="O12" s="57"/>
      <c r="P12" s="57"/>
      <c r="Q12" s="57"/>
      <c r="R12" s="57"/>
      <c r="S12" s="57"/>
      <c r="T12" s="57"/>
      <c r="U12" s="57"/>
      <c r="V12" s="57"/>
      <c r="W12" s="57"/>
      <c r="X12" s="57"/>
      <c r="Y12" s="57"/>
      <c r="Z12" s="57"/>
      <c r="AA12" s="57"/>
      <c r="AB12" s="57"/>
      <c r="AC12" s="57"/>
    </row>
    <row r="13" ht="7.5" customHeight="1">
      <c r="A13" s="117"/>
      <c r="B13" s="117"/>
      <c r="C13" s="117"/>
      <c r="D13" s="117"/>
      <c r="E13" s="117"/>
      <c r="F13" s="117"/>
      <c r="G13" s="117"/>
      <c r="H13" s="117"/>
      <c r="I13" s="118"/>
      <c r="J13" s="56"/>
      <c r="K13" s="57"/>
      <c r="L13" s="57"/>
      <c r="M13" s="57"/>
      <c r="N13" s="57"/>
      <c r="O13" s="57"/>
      <c r="P13" s="57"/>
      <c r="Q13" s="57"/>
      <c r="R13" s="57"/>
      <c r="S13" s="57"/>
      <c r="T13" s="57"/>
      <c r="U13" s="57"/>
      <c r="V13" s="57"/>
      <c r="W13" s="57"/>
      <c r="X13" s="57"/>
      <c r="Y13" s="57"/>
      <c r="Z13" s="57"/>
      <c r="AA13" s="57"/>
      <c r="AB13" s="57"/>
      <c r="AC13" s="57"/>
    </row>
    <row r="14" ht="7.5" customHeight="1">
      <c r="A14" s="117"/>
      <c r="B14" s="117"/>
      <c r="C14" s="117"/>
      <c r="D14" s="117"/>
      <c r="E14" s="117"/>
      <c r="F14" s="117"/>
      <c r="G14" s="117"/>
      <c r="H14" s="117"/>
      <c r="I14" s="118"/>
      <c r="J14" s="56"/>
      <c r="K14" s="57"/>
      <c r="L14" s="57"/>
      <c r="M14" s="57"/>
      <c r="N14" s="57"/>
      <c r="O14" s="57"/>
      <c r="P14" s="57"/>
      <c r="Q14" s="57"/>
      <c r="R14" s="57"/>
      <c r="S14" s="57"/>
      <c r="T14" s="57"/>
      <c r="U14" s="57"/>
      <c r="V14" s="57"/>
      <c r="W14" s="57"/>
      <c r="X14" s="57"/>
      <c r="Y14" s="57"/>
      <c r="Z14" s="57"/>
      <c r="AA14" s="57"/>
      <c r="AB14" s="57"/>
      <c r="AC14" s="57"/>
    </row>
    <row r="15" ht="7.5" customHeight="1">
      <c r="A15" s="117"/>
      <c r="B15" s="117"/>
      <c r="C15" s="117"/>
      <c r="D15" s="117"/>
      <c r="E15" s="117"/>
      <c r="F15" s="117"/>
      <c r="G15" s="117"/>
      <c r="H15" s="117"/>
      <c r="I15" s="118"/>
      <c r="J15" s="56"/>
      <c r="K15" s="57"/>
      <c r="L15" s="57"/>
      <c r="M15" s="57"/>
      <c r="N15" s="57"/>
      <c r="O15" s="57"/>
      <c r="P15" s="57"/>
      <c r="Q15" s="57"/>
      <c r="R15" s="57"/>
      <c r="S15" s="57"/>
      <c r="T15" s="57"/>
      <c r="U15" s="57"/>
      <c r="V15" s="57"/>
      <c r="W15" s="57"/>
      <c r="X15" s="57"/>
      <c r="Y15" s="57"/>
      <c r="Z15" s="57"/>
      <c r="AA15" s="57"/>
      <c r="AB15" s="57"/>
      <c r="AC15" s="57"/>
    </row>
    <row r="16" ht="7.5" customHeight="1">
      <c r="A16" s="117"/>
      <c r="B16" s="117"/>
      <c r="C16" s="117"/>
      <c r="D16" s="117"/>
      <c r="E16" s="117"/>
      <c r="F16" s="117"/>
      <c r="G16" s="117"/>
      <c r="H16" s="117"/>
      <c r="I16" s="118"/>
      <c r="J16" s="56"/>
      <c r="K16" s="57"/>
      <c r="L16" s="57"/>
      <c r="M16" s="57"/>
      <c r="N16" s="57"/>
      <c r="O16" s="57"/>
      <c r="P16" s="57"/>
      <c r="Q16" s="57"/>
      <c r="R16" s="57"/>
      <c r="S16" s="57"/>
      <c r="T16" s="57"/>
      <c r="U16" s="57"/>
      <c r="V16" s="57"/>
      <c r="W16" s="57"/>
      <c r="X16" s="57"/>
      <c r="Y16" s="57"/>
      <c r="Z16" s="57"/>
      <c r="AA16" s="57"/>
      <c r="AB16" s="57"/>
      <c r="AC16" s="57"/>
    </row>
    <row r="17" ht="7.5" customHeight="1">
      <c r="A17" s="117"/>
      <c r="B17" s="117"/>
      <c r="C17" s="117"/>
      <c r="D17" s="117"/>
      <c r="E17" s="117"/>
      <c r="F17" s="117"/>
      <c r="G17" s="117"/>
      <c r="H17" s="117"/>
      <c r="I17" s="118"/>
      <c r="J17" s="56"/>
      <c r="K17" s="57"/>
      <c r="L17" s="57"/>
      <c r="M17" s="57"/>
      <c r="N17" s="57"/>
      <c r="O17" s="57"/>
      <c r="P17" s="57"/>
      <c r="Q17" s="57"/>
      <c r="R17" s="57"/>
      <c r="S17" s="57"/>
      <c r="T17" s="57"/>
      <c r="U17" s="57"/>
      <c r="V17" s="57"/>
      <c r="W17" s="57"/>
      <c r="X17" s="57"/>
      <c r="Y17" s="57"/>
      <c r="Z17" s="57"/>
      <c r="AA17" s="57"/>
      <c r="AB17" s="57"/>
      <c r="AC17" s="57"/>
    </row>
    <row r="18" ht="7.5" customHeight="1">
      <c r="A18" s="117"/>
      <c r="B18" s="117"/>
      <c r="C18" s="117"/>
      <c r="D18" s="117"/>
      <c r="E18" s="117"/>
      <c r="F18" s="117"/>
      <c r="G18" s="117"/>
      <c r="H18" s="117"/>
      <c r="I18" s="118"/>
      <c r="J18" s="56"/>
      <c r="K18" s="57"/>
      <c r="L18" s="57"/>
      <c r="M18" s="57"/>
      <c r="N18" s="57"/>
      <c r="O18" s="57"/>
      <c r="P18" s="57"/>
      <c r="Q18" s="57"/>
      <c r="R18" s="57"/>
      <c r="S18" s="57"/>
      <c r="T18" s="57"/>
      <c r="U18" s="57"/>
      <c r="V18" s="57"/>
      <c r="W18" s="57"/>
      <c r="X18" s="57"/>
      <c r="Y18" s="57"/>
      <c r="Z18" s="57"/>
      <c r="AA18" s="57"/>
      <c r="AB18" s="57"/>
      <c r="AC18" s="57"/>
    </row>
    <row r="19" ht="7.5" customHeight="1">
      <c r="A19" s="117"/>
      <c r="B19" s="117"/>
      <c r="C19" s="117"/>
      <c r="D19" s="117"/>
      <c r="E19" s="117"/>
      <c r="F19" s="117"/>
      <c r="G19" s="117"/>
      <c r="H19" s="117"/>
      <c r="I19" s="118"/>
      <c r="J19" s="56"/>
      <c r="K19" s="57"/>
      <c r="L19" s="57"/>
      <c r="M19" s="57"/>
      <c r="N19" s="57"/>
      <c r="O19" s="57"/>
      <c r="P19" s="57"/>
      <c r="Q19" s="57"/>
      <c r="R19" s="57"/>
      <c r="S19" s="57"/>
      <c r="T19" s="57"/>
      <c r="U19" s="57"/>
      <c r="V19" s="57"/>
      <c r="W19" s="57"/>
      <c r="X19" s="57"/>
      <c r="Y19" s="57"/>
      <c r="Z19" s="57"/>
      <c r="AA19" s="57"/>
      <c r="AB19" s="57"/>
      <c r="AC19" s="57"/>
    </row>
    <row r="20" ht="7.5" customHeight="1">
      <c r="A20" s="117"/>
      <c r="B20" s="117"/>
      <c r="C20" s="117"/>
      <c r="D20" s="117"/>
      <c r="E20" s="117"/>
      <c r="F20" s="117"/>
      <c r="G20" s="117"/>
      <c r="H20" s="117"/>
      <c r="I20" s="118"/>
      <c r="J20" s="56"/>
      <c r="K20" s="57"/>
      <c r="L20" s="57"/>
      <c r="M20" s="57"/>
      <c r="N20" s="57"/>
      <c r="O20" s="57"/>
      <c r="P20" s="57"/>
      <c r="Q20" s="57"/>
      <c r="R20" s="57"/>
      <c r="S20" s="57"/>
      <c r="T20" s="57"/>
      <c r="U20" s="57"/>
      <c r="V20" s="57"/>
      <c r="W20" s="57"/>
      <c r="X20" s="57"/>
      <c r="Y20" s="57"/>
      <c r="Z20" s="57"/>
      <c r="AA20" s="57"/>
      <c r="AB20" s="57"/>
      <c r="AC20" s="57"/>
    </row>
    <row r="21" ht="7.5" customHeight="1">
      <c r="A21" s="117"/>
      <c r="B21" s="117"/>
      <c r="C21" s="117"/>
      <c r="D21" s="117"/>
      <c r="E21" s="117"/>
      <c r="F21" s="117"/>
      <c r="G21" s="117"/>
      <c r="H21" s="117"/>
      <c r="I21" s="118"/>
      <c r="J21" s="56"/>
      <c r="K21" s="57"/>
      <c r="L21" s="57"/>
      <c r="M21" s="57"/>
      <c r="N21" s="57"/>
      <c r="O21" s="57"/>
      <c r="P21" s="57"/>
      <c r="Q21" s="57"/>
      <c r="R21" s="57"/>
      <c r="S21" s="57"/>
      <c r="T21" s="57"/>
      <c r="U21" s="57"/>
      <c r="V21" s="57"/>
      <c r="W21" s="57"/>
      <c r="X21" s="57"/>
      <c r="Y21" s="57"/>
      <c r="Z21" s="57"/>
      <c r="AA21" s="57"/>
      <c r="AB21" s="57"/>
      <c r="AC21" s="57"/>
    </row>
    <row r="22" ht="36.0" customHeight="1">
      <c r="A22" s="45" t="s">
        <v>8</v>
      </c>
      <c r="B22" s="14"/>
      <c r="C22" s="60" t="s">
        <v>802</v>
      </c>
      <c r="D22" s="60" t="s">
        <v>803</v>
      </c>
      <c r="E22" s="60" t="s">
        <v>804</v>
      </c>
      <c r="F22" s="60" t="s">
        <v>805</v>
      </c>
      <c r="G22" s="60" t="s">
        <v>806</v>
      </c>
      <c r="H22" s="60" t="s">
        <v>807</v>
      </c>
      <c r="I22" s="60" t="s">
        <v>808</v>
      </c>
      <c r="J22" s="119"/>
      <c r="K22" s="120"/>
      <c r="L22" s="120"/>
      <c r="M22" s="120"/>
      <c r="N22" s="120"/>
      <c r="O22" s="120"/>
      <c r="P22" s="120"/>
      <c r="Q22" s="120"/>
      <c r="R22" s="120"/>
      <c r="S22" s="120"/>
      <c r="T22" s="120"/>
      <c r="U22" s="120"/>
      <c r="V22" s="120"/>
      <c r="W22" s="120"/>
      <c r="X22" s="120"/>
      <c r="Y22" s="120"/>
      <c r="Z22" s="120"/>
      <c r="AA22" s="120"/>
      <c r="AB22" s="120"/>
      <c r="AC22" s="120"/>
    </row>
    <row r="23" ht="16.5" customHeight="1">
      <c r="A23" s="121"/>
      <c r="B23" s="121"/>
      <c r="C23" s="122"/>
      <c r="D23" s="122"/>
      <c r="E23" s="122"/>
      <c r="F23" s="122"/>
      <c r="G23" s="123"/>
      <c r="H23" s="122"/>
      <c r="I23" s="123"/>
      <c r="J23" s="124"/>
      <c r="K23" s="125"/>
      <c r="L23" s="125"/>
      <c r="M23" s="125"/>
      <c r="N23" s="125"/>
      <c r="O23" s="125"/>
      <c r="P23" s="125"/>
      <c r="Q23" s="125"/>
      <c r="R23" s="125"/>
      <c r="S23" s="125"/>
      <c r="T23" s="125"/>
      <c r="U23" s="125"/>
      <c r="V23" s="125"/>
      <c r="W23" s="125"/>
      <c r="X23" s="125"/>
      <c r="Y23" s="125"/>
      <c r="Z23" s="125"/>
      <c r="AA23" s="125"/>
      <c r="AB23" s="125"/>
      <c r="AC23" s="125"/>
    </row>
    <row r="24" ht="48.0" customHeight="1">
      <c r="A24" s="51" t="s">
        <v>83</v>
      </c>
      <c r="B24" s="62" t="str">
        <f>VLOOKUP(A24,'HECVAT - Full'!A$24:B$312,2,FALSE)</f>
        <v>Does your product process protected health information (PHI) or any data covered by the Health Insurance Portability and Accountability Act?</v>
      </c>
      <c r="C24" s="63" t="s">
        <v>809</v>
      </c>
      <c r="D24" s="126" t="s">
        <v>810</v>
      </c>
      <c r="E24" s="126" t="s">
        <v>811</v>
      </c>
      <c r="F24" s="63" t="s">
        <v>812</v>
      </c>
      <c r="G24" s="63" t="s">
        <v>812</v>
      </c>
      <c r="H24" s="126" t="s">
        <v>813</v>
      </c>
      <c r="I24" s="127"/>
      <c r="J24" s="7"/>
      <c r="K24" s="9"/>
      <c r="L24" s="9"/>
      <c r="M24" s="9"/>
      <c r="N24" s="9"/>
      <c r="O24" s="9"/>
      <c r="P24" s="9"/>
      <c r="Q24" s="9"/>
      <c r="R24" s="9"/>
      <c r="S24" s="9"/>
      <c r="T24" s="9"/>
      <c r="U24" s="9"/>
      <c r="V24" s="9"/>
      <c r="W24" s="9"/>
      <c r="X24" s="9"/>
      <c r="Y24" s="9"/>
      <c r="Z24" s="9"/>
      <c r="AA24" s="9"/>
      <c r="AB24" s="9"/>
      <c r="AC24" s="9"/>
    </row>
    <row r="25" ht="48.0" customHeight="1">
      <c r="A25" s="51" t="s">
        <v>86</v>
      </c>
      <c r="B25" s="62" t="str">
        <f>VLOOKUP(A25,'HECVAT - Full'!A$24:B$312,2,FALSE)</f>
        <v>Does the vended product host/support a mobile application? (e.g. app)</v>
      </c>
      <c r="C25" s="63" t="s">
        <v>814</v>
      </c>
      <c r="D25" s="127"/>
      <c r="E25" s="127"/>
      <c r="F25" s="128"/>
      <c r="G25" s="129"/>
      <c r="H25" s="126" t="s">
        <v>815</v>
      </c>
      <c r="I25" s="127"/>
      <c r="J25" s="7"/>
      <c r="K25" s="9"/>
      <c r="L25" s="9"/>
      <c r="M25" s="9"/>
      <c r="N25" s="9"/>
      <c r="O25" s="9"/>
      <c r="P25" s="9"/>
      <c r="Q25" s="9"/>
      <c r="R25" s="9"/>
      <c r="S25" s="9"/>
      <c r="T25" s="9"/>
      <c r="U25" s="9"/>
      <c r="V25" s="9"/>
      <c r="W25" s="9"/>
      <c r="X25" s="9"/>
      <c r="Y25" s="9"/>
      <c r="Z25" s="9"/>
      <c r="AA25" s="9"/>
      <c r="AB25" s="9"/>
      <c r="AC25" s="9"/>
    </row>
    <row r="26" ht="48.0" customHeight="1">
      <c r="A26" s="51" t="s">
        <v>88</v>
      </c>
      <c r="B26" s="62" t="str">
        <f>VLOOKUP(A26,'HECVAT - Full'!A$24:B$312,2,FALSE)</f>
        <v>Will institution data be shared with or hosted by any third parties? (e.g. any entity not wholly-owned by your company is considered a third-party)</v>
      </c>
      <c r="C26" s="63" t="s">
        <v>809</v>
      </c>
      <c r="D26" s="127"/>
      <c r="E26" s="127"/>
      <c r="F26" s="63" t="s">
        <v>816</v>
      </c>
      <c r="G26" s="63" t="s">
        <v>816</v>
      </c>
      <c r="H26" s="127"/>
      <c r="I26" s="130">
        <v>12.8</v>
      </c>
      <c r="J26" s="7"/>
      <c r="K26" s="9"/>
      <c r="L26" s="9"/>
      <c r="M26" s="9"/>
      <c r="N26" s="9"/>
      <c r="O26" s="9"/>
      <c r="P26" s="9"/>
      <c r="Q26" s="9"/>
      <c r="R26" s="9"/>
      <c r="S26" s="9"/>
      <c r="T26" s="9"/>
      <c r="U26" s="9"/>
      <c r="V26" s="9"/>
      <c r="W26" s="9"/>
      <c r="X26" s="9"/>
      <c r="Y26" s="9"/>
      <c r="Z26" s="9"/>
      <c r="AA26" s="9"/>
      <c r="AB26" s="9"/>
      <c r="AC26" s="9"/>
    </row>
    <row r="27" ht="48.0" customHeight="1">
      <c r="A27" s="51" t="s">
        <v>91</v>
      </c>
      <c r="B27" s="62" t="str">
        <f>VLOOKUP(A27,'HECVAT - Full'!A$24:B$312,2,FALSE)</f>
        <v>Do you have a Business Continuity Plan (BCP)?</v>
      </c>
      <c r="C27" s="63" t="s">
        <v>817</v>
      </c>
      <c r="D27" s="127"/>
      <c r="E27" s="126" t="s">
        <v>818</v>
      </c>
      <c r="F27" s="63" t="s">
        <v>819</v>
      </c>
      <c r="G27" s="63" t="s">
        <v>819</v>
      </c>
      <c r="H27" s="126" t="s">
        <v>820</v>
      </c>
      <c r="I27" s="130">
        <v>12.1</v>
      </c>
      <c r="J27" s="7"/>
      <c r="K27" s="9"/>
      <c r="L27" s="9"/>
      <c r="M27" s="9"/>
      <c r="N27" s="9"/>
      <c r="O27" s="9"/>
      <c r="P27" s="9"/>
      <c r="Q27" s="9"/>
      <c r="R27" s="9"/>
      <c r="S27" s="9"/>
      <c r="T27" s="9"/>
      <c r="U27" s="9"/>
      <c r="V27" s="9"/>
      <c r="W27" s="9"/>
      <c r="X27" s="9"/>
      <c r="Y27" s="9"/>
      <c r="Z27" s="9"/>
      <c r="AA27" s="9"/>
      <c r="AB27" s="9"/>
      <c r="AC27" s="9"/>
    </row>
    <row r="28" ht="48.0" customHeight="1">
      <c r="A28" s="51" t="s">
        <v>93</v>
      </c>
      <c r="B28" s="62" t="str">
        <f>VLOOKUP(A28,'HECVAT - Full'!A$24:B$312,2,FALSE)</f>
        <v>Do you have a Disaster Recovery Plan (DRP)?</v>
      </c>
      <c r="C28" s="63" t="s">
        <v>817</v>
      </c>
      <c r="D28" s="127"/>
      <c r="E28" s="126" t="s">
        <v>818</v>
      </c>
      <c r="F28" s="63" t="s">
        <v>819</v>
      </c>
      <c r="G28" s="63" t="s">
        <v>819</v>
      </c>
      <c r="H28" s="126" t="s">
        <v>821</v>
      </c>
      <c r="I28" s="130">
        <v>12.1</v>
      </c>
      <c r="J28" s="7"/>
      <c r="K28" s="9"/>
      <c r="L28" s="9"/>
      <c r="M28" s="9"/>
      <c r="N28" s="9"/>
      <c r="O28" s="9"/>
      <c r="P28" s="9"/>
      <c r="Q28" s="9"/>
      <c r="R28" s="9"/>
      <c r="S28" s="9"/>
      <c r="T28" s="9"/>
      <c r="U28" s="9"/>
      <c r="V28" s="9"/>
      <c r="W28" s="9"/>
      <c r="X28" s="9"/>
      <c r="Y28" s="9"/>
      <c r="Z28" s="9"/>
      <c r="AA28" s="9"/>
      <c r="AB28" s="9"/>
      <c r="AC28" s="9"/>
    </row>
    <row r="29" ht="48.0" customHeight="1">
      <c r="A29" s="51" t="s">
        <v>95</v>
      </c>
      <c r="B29" s="62" t="str">
        <f>VLOOKUP(A29,'HECVAT - Full'!A$24:B$312,2,FALSE)</f>
        <v>Will data regulated by PCI DSS reside in the vended product?</v>
      </c>
      <c r="C29" s="63" t="s">
        <v>809</v>
      </c>
      <c r="D29" s="127"/>
      <c r="E29" s="126" t="s">
        <v>811</v>
      </c>
      <c r="F29" s="63" t="s">
        <v>812</v>
      </c>
      <c r="G29" s="63" t="s">
        <v>812</v>
      </c>
      <c r="H29" s="126" t="s">
        <v>813</v>
      </c>
      <c r="I29" s="126" t="s">
        <v>822</v>
      </c>
      <c r="J29" s="7"/>
      <c r="K29" s="9"/>
      <c r="L29" s="9"/>
      <c r="M29" s="9"/>
      <c r="N29" s="9"/>
      <c r="O29" s="9"/>
      <c r="P29" s="9"/>
      <c r="Q29" s="9"/>
      <c r="R29" s="9"/>
      <c r="S29" s="9"/>
      <c r="T29" s="9"/>
      <c r="U29" s="9"/>
      <c r="V29" s="9"/>
      <c r="W29" s="9"/>
      <c r="X29" s="9"/>
      <c r="Y29" s="9"/>
      <c r="Z29" s="9"/>
      <c r="AA29" s="9"/>
      <c r="AB29" s="9"/>
      <c r="AC29" s="9"/>
    </row>
    <row r="30" ht="48.0" customHeight="1">
      <c r="A30" s="51" t="s">
        <v>97</v>
      </c>
      <c r="B30" s="62" t="str">
        <f>VLOOKUP(A30,'HECVAT - Full'!A$24:B$312,2,FALSE)</f>
        <v>Is your company a consulting firm providing only consultation to the Institution?</v>
      </c>
      <c r="C30" s="63" t="s">
        <v>823</v>
      </c>
      <c r="D30" s="127"/>
      <c r="E30" s="127"/>
      <c r="F30" s="128"/>
      <c r="G30" s="129"/>
      <c r="H30" s="127"/>
      <c r="I30" s="126" t="s">
        <v>824</v>
      </c>
      <c r="J30" s="7"/>
      <c r="K30" s="9"/>
      <c r="L30" s="9"/>
      <c r="M30" s="9"/>
      <c r="N30" s="9"/>
      <c r="O30" s="9"/>
      <c r="P30" s="9"/>
      <c r="Q30" s="9"/>
      <c r="R30" s="9"/>
      <c r="S30" s="9"/>
      <c r="T30" s="9"/>
      <c r="U30" s="9"/>
      <c r="V30" s="9"/>
      <c r="W30" s="9"/>
      <c r="X30" s="9"/>
      <c r="Y30" s="9"/>
      <c r="Z30" s="9"/>
      <c r="AA30" s="9"/>
      <c r="AB30" s="9"/>
      <c r="AC30" s="9"/>
    </row>
    <row r="31" ht="36.0" customHeight="1">
      <c r="A31" s="45" t="s">
        <v>10</v>
      </c>
      <c r="B31" s="14"/>
      <c r="C31" s="60" t="str">
        <f>$C$22</f>
        <v>CIS Critical Security Controls v6.1</v>
      </c>
      <c r="D31" s="60" t="str">
        <f>$D$22</f>
        <v>HIPAA</v>
      </c>
      <c r="E31" s="60" t="str">
        <f>$E$22</f>
        <v>ISO 27002:2013</v>
      </c>
      <c r="F31" s="60" t="str">
        <f>$F$22</f>
        <v>NIST Cybersecurity Framework</v>
      </c>
      <c r="G31" s="60" t="str">
        <f>$G$22</f>
        <v>NIST SP 800-171r1</v>
      </c>
      <c r="H31" s="60" t="str">
        <f>$H$22</f>
        <v>NIST SP 800-53r4</v>
      </c>
      <c r="I31" s="60" t="s">
        <v>808</v>
      </c>
      <c r="J31" s="119"/>
      <c r="K31" s="120"/>
      <c r="L31" s="120"/>
      <c r="M31" s="120"/>
      <c r="N31" s="120"/>
      <c r="O31" s="120"/>
      <c r="P31" s="120"/>
      <c r="Q31" s="120"/>
      <c r="R31" s="120"/>
      <c r="S31" s="120"/>
      <c r="T31" s="120"/>
      <c r="U31" s="120"/>
      <c r="V31" s="120"/>
      <c r="W31" s="120"/>
      <c r="X31" s="120"/>
      <c r="Y31" s="120"/>
      <c r="Z31" s="120"/>
      <c r="AA31" s="120"/>
      <c r="AB31" s="120"/>
      <c r="AC31" s="120"/>
    </row>
    <row r="32" ht="63.75" customHeight="1">
      <c r="A32" s="51" t="s">
        <v>99</v>
      </c>
      <c r="B32" s="62" t="str">
        <f>VLOOKUP(A32,'HECVAT - Full'!A$24:B$312,2,FALSE)</f>
        <v>Have you undergone a SSAE 18 audit?</v>
      </c>
      <c r="C32" s="128"/>
      <c r="D32" s="127"/>
      <c r="E32" s="126" t="s">
        <v>825</v>
      </c>
      <c r="F32" s="128"/>
      <c r="G32" s="129"/>
      <c r="H32" s="126" t="s">
        <v>826</v>
      </c>
      <c r="I32" s="127"/>
      <c r="J32" s="7"/>
      <c r="K32" s="9"/>
      <c r="L32" s="9"/>
      <c r="M32" s="9"/>
      <c r="N32" s="9"/>
      <c r="O32" s="9"/>
      <c r="P32" s="9"/>
      <c r="Q32" s="9"/>
      <c r="R32" s="9"/>
      <c r="S32" s="9"/>
      <c r="T32" s="9"/>
      <c r="U32" s="9"/>
      <c r="V32" s="9"/>
      <c r="W32" s="9"/>
      <c r="X32" s="9"/>
      <c r="Y32" s="9"/>
      <c r="Z32" s="9"/>
      <c r="AA32" s="9"/>
      <c r="AB32" s="9"/>
      <c r="AC32" s="9"/>
    </row>
    <row r="33" ht="48.0" customHeight="1">
      <c r="A33" s="51" t="s">
        <v>102</v>
      </c>
      <c r="B33" s="62" t="str">
        <f>VLOOKUP(A33,'HECVAT - Full'!A$24:B$312,2,FALSE)</f>
        <v>Have you completed the Cloud Security Alliance (CSA) self assessment or CAIQ?</v>
      </c>
      <c r="C33" s="128"/>
      <c r="D33" s="127"/>
      <c r="E33" s="126" t="s">
        <v>825</v>
      </c>
      <c r="F33" s="128"/>
      <c r="G33" s="129"/>
      <c r="H33" s="126" t="s">
        <v>827</v>
      </c>
      <c r="I33" s="127"/>
      <c r="J33" s="7"/>
      <c r="K33" s="9"/>
      <c r="L33" s="9"/>
      <c r="M33" s="9"/>
      <c r="N33" s="9"/>
      <c r="O33" s="9"/>
      <c r="P33" s="9"/>
      <c r="Q33" s="9"/>
      <c r="R33" s="9"/>
      <c r="S33" s="9"/>
      <c r="T33" s="9"/>
      <c r="U33" s="9"/>
      <c r="V33" s="9"/>
      <c r="W33" s="9"/>
      <c r="X33" s="9"/>
      <c r="Y33" s="9"/>
      <c r="Z33" s="9"/>
      <c r="AA33" s="9"/>
      <c r="AB33" s="9"/>
      <c r="AC33" s="9"/>
    </row>
    <row r="34" ht="48.0" customHeight="1">
      <c r="A34" s="51" t="s">
        <v>105</v>
      </c>
      <c r="B34" s="62" t="str">
        <f>VLOOKUP(A34,'HECVAT - Full'!A$24:B$312,2,FALSE)</f>
        <v>Have you received the Cloud Security Alliance STAR certification?</v>
      </c>
      <c r="C34" s="128"/>
      <c r="D34" s="127"/>
      <c r="E34" s="126" t="s">
        <v>825</v>
      </c>
      <c r="F34" s="128"/>
      <c r="G34" s="129"/>
      <c r="H34" s="126" t="s">
        <v>827</v>
      </c>
      <c r="I34" s="127"/>
      <c r="J34" s="7"/>
      <c r="K34" s="9"/>
      <c r="L34" s="9"/>
      <c r="M34" s="9"/>
      <c r="N34" s="9"/>
      <c r="O34" s="9"/>
      <c r="P34" s="9"/>
      <c r="Q34" s="9"/>
      <c r="R34" s="9"/>
      <c r="S34" s="9"/>
      <c r="T34" s="9"/>
      <c r="U34" s="9"/>
      <c r="V34" s="9"/>
      <c r="W34" s="9"/>
      <c r="X34" s="9"/>
      <c r="Y34" s="9"/>
      <c r="Z34" s="9"/>
      <c r="AA34" s="9"/>
      <c r="AB34" s="9"/>
      <c r="AC34" s="9"/>
    </row>
    <row r="35" ht="63.75" customHeight="1">
      <c r="A35" s="51" t="s">
        <v>107</v>
      </c>
      <c r="B35" s="62" t="str">
        <f>VLOOKUP(A35,'HECVAT - Full'!A$24:B$312,2,FALSE)</f>
        <v>Do you conform with a specific industry standard security framework? (e.g. NIST Cybersecurity Framework, ISO 27001, etc.)</v>
      </c>
      <c r="C35" s="128"/>
      <c r="D35" s="127"/>
      <c r="E35" s="126" t="s">
        <v>811</v>
      </c>
      <c r="F35" s="128"/>
      <c r="G35" s="129"/>
      <c r="H35" s="126" t="s">
        <v>826</v>
      </c>
      <c r="I35" s="126" t="s">
        <v>828</v>
      </c>
      <c r="J35" s="7"/>
      <c r="K35" s="9"/>
      <c r="L35" s="9"/>
      <c r="M35" s="9"/>
      <c r="N35" s="9"/>
      <c r="O35" s="9"/>
      <c r="P35" s="9"/>
      <c r="Q35" s="9"/>
      <c r="R35" s="9"/>
      <c r="S35" s="9"/>
      <c r="T35" s="9"/>
      <c r="U35" s="9"/>
      <c r="V35" s="9"/>
      <c r="W35" s="9"/>
      <c r="X35" s="9"/>
      <c r="Y35" s="9"/>
      <c r="Z35" s="9"/>
      <c r="AA35" s="9"/>
      <c r="AB35" s="9"/>
      <c r="AC35" s="9"/>
    </row>
    <row r="36" ht="48.0" customHeight="1">
      <c r="A36" s="51" t="s">
        <v>110</v>
      </c>
      <c r="B36" s="62" t="str">
        <f>VLOOKUP(A36,'HECVAT - Full'!A$24:B$312,2,FALSE)</f>
        <v>Are you compliant with FISMA standards?</v>
      </c>
      <c r="C36" s="128"/>
      <c r="D36" s="127"/>
      <c r="E36" s="126" t="s">
        <v>811</v>
      </c>
      <c r="F36" s="128"/>
      <c r="G36" s="129"/>
      <c r="H36" s="126" t="s">
        <v>826</v>
      </c>
      <c r="I36" s="127"/>
      <c r="J36" s="7"/>
      <c r="K36" s="9"/>
      <c r="L36" s="9"/>
      <c r="M36" s="9"/>
      <c r="N36" s="9"/>
      <c r="O36" s="9"/>
      <c r="P36" s="9"/>
      <c r="Q36" s="9"/>
      <c r="R36" s="9"/>
      <c r="S36" s="9"/>
      <c r="T36" s="9"/>
      <c r="U36" s="9"/>
      <c r="V36" s="9"/>
      <c r="W36" s="9"/>
      <c r="X36" s="9"/>
      <c r="Y36" s="9"/>
      <c r="Z36" s="9"/>
      <c r="AA36" s="9"/>
      <c r="AB36" s="9"/>
      <c r="AC36" s="9"/>
    </row>
    <row r="37" ht="48.0" customHeight="1">
      <c r="A37" s="51" t="s">
        <v>113</v>
      </c>
      <c r="B37" s="62" t="str">
        <f>VLOOKUP(A37,'HECVAT - Full'!A$24:B$312,2,FALSE)</f>
        <v>Does your organization have a data privacy policy?</v>
      </c>
      <c r="C37" s="128"/>
      <c r="D37" s="126" t="s">
        <v>829</v>
      </c>
      <c r="E37" s="126" t="s">
        <v>830</v>
      </c>
      <c r="F37" s="63" t="s">
        <v>812</v>
      </c>
      <c r="G37" s="63" t="s">
        <v>812</v>
      </c>
      <c r="H37" s="126" t="s">
        <v>826</v>
      </c>
      <c r="I37" s="127"/>
      <c r="J37" s="7"/>
      <c r="K37" s="9"/>
      <c r="L37" s="9"/>
      <c r="M37" s="9"/>
      <c r="N37" s="9"/>
      <c r="O37" s="9"/>
      <c r="P37" s="9"/>
      <c r="Q37" s="9"/>
      <c r="R37" s="9"/>
      <c r="S37" s="9"/>
      <c r="T37" s="9"/>
      <c r="U37" s="9"/>
      <c r="V37" s="9"/>
      <c r="W37" s="9"/>
      <c r="X37" s="9"/>
      <c r="Y37" s="9"/>
      <c r="Z37" s="9"/>
      <c r="AA37" s="9"/>
      <c r="AB37" s="9"/>
      <c r="AC37" s="9"/>
    </row>
    <row r="38" ht="36.0" customHeight="1">
      <c r="A38" s="45" t="s">
        <v>12</v>
      </c>
      <c r="B38" s="14"/>
      <c r="C38" s="60" t="str">
        <f>$C$22</f>
        <v>CIS Critical Security Controls v6.1</v>
      </c>
      <c r="D38" s="60" t="str">
        <f>$D$22</f>
        <v>HIPAA</v>
      </c>
      <c r="E38" s="60" t="str">
        <f>$E$22</f>
        <v>ISO 27002:2013</v>
      </c>
      <c r="F38" s="60" t="str">
        <f>$F$22</f>
        <v>NIST Cybersecurity Framework</v>
      </c>
      <c r="G38" s="60" t="str">
        <f>$G$22</f>
        <v>NIST SP 800-171r1</v>
      </c>
      <c r="H38" s="60" t="str">
        <f>$H$22</f>
        <v>NIST SP 800-53r4</v>
      </c>
      <c r="I38" s="60" t="s">
        <v>808</v>
      </c>
      <c r="J38" s="119"/>
      <c r="K38" s="120"/>
      <c r="L38" s="120"/>
      <c r="M38" s="120"/>
      <c r="N38" s="120"/>
      <c r="O38" s="120"/>
      <c r="P38" s="120"/>
      <c r="Q38" s="120"/>
      <c r="R38" s="120"/>
      <c r="S38" s="120"/>
      <c r="T38" s="120"/>
      <c r="U38" s="120"/>
      <c r="V38" s="120"/>
      <c r="W38" s="120"/>
      <c r="X38" s="120"/>
      <c r="Y38" s="120"/>
      <c r="Z38" s="120"/>
      <c r="AA38" s="120"/>
      <c r="AB38" s="120"/>
      <c r="AC38" s="120"/>
    </row>
    <row r="39" ht="54.0" customHeight="1">
      <c r="A39" s="51" t="s">
        <v>116</v>
      </c>
      <c r="B39" s="62" t="str">
        <f>VLOOKUP(A39,'HECVAT - Full'!A$24:B$312,2,FALSE)</f>
        <v>Describe your organization’s business background and ownership structure, including all parent and subsidiary relationships.</v>
      </c>
      <c r="C39" s="128"/>
      <c r="D39" s="127"/>
      <c r="E39" s="127"/>
      <c r="F39" s="128"/>
      <c r="G39" s="129"/>
      <c r="H39" s="127"/>
      <c r="I39" s="130">
        <v>12.8</v>
      </c>
      <c r="J39" s="7"/>
      <c r="K39" s="9"/>
      <c r="L39" s="9"/>
      <c r="M39" s="9"/>
      <c r="N39" s="9"/>
      <c r="O39" s="9"/>
      <c r="P39" s="9"/>
      <c r="Q39" s="9"/>
      <c r="R39" s="9"/>
      <c r="S39" s="9"/>
      <c r="T39" s="9"/>
      <c r="U39" s="9"/>
      <c r="V39" s="9"/>
      <c r="W39" s="9"/>
      <c r="X39" s="9"/>
      <c r="Y39" s="9"/>
      <c r="Z39" s="9"/>
      <c r="AA39" s="9"/>
      <c r="AB39" s="9"/>
      <c r="AC39" s="9"/>
    </row>
    <row r="40" ht="54.0" customHeight="1">
      <c r="A40" s="51" t="s">
        <v>120</v>
      </c>
      <c r="B40" s="62" t="str">
        <f>VLOOKUP(A40,'HECVAT - Full'!A$24:B$312,2,FALSE)</f>
        <v>Describe how long your organization has conducted business in this product area.</v>
      </c>
      <c r="C40" s="128"/>
      <c r="D40" s="127"/>
      <c r="E40" s="127"/>
      <c r="F40" s="128"/>
      <c r="G40" s="129"/>
      <c r="H40" s="127"/>
      <c r="I40" s="130">
        <v>12.8</v>
      </c>
      <c r="J40" s="7"/>
      <c r="K40" s="9"/>
      <c r="L40" s="9"/>
      <c r="M40" s="9"/>
      <c r="N40" s="9"/>
      <c r="O40" s="9"/>
      <c r="P40" s="9"/>
      <c r="Q40" s="9"/>
      <c r="R40" s="9"/>
      <c r="S40" s="9"/>
      <c r="T40" s="9"/>
      <c r="U40" s="9"/>
      <c r="V40" s="9"/>
      <c r="W40" s="9"/>
      <c r="X40" s="9"/>
      <c r="Y40" s="9"/>
      <c r="Z40" s="9"/>
      <c r="AA40" s="9"/>
      <c r="AB40" s="9"/>
      <c r="AC40" s="9"/>
    </row>
    <row r="41" ht="54.0" customHeight="1">
      <c r="A41" s="51" t="s">
        <v>124</v>
      </c>
      <c r="B41" s="62" t="str">
        <f>VLOOKUP(A41,'HECVAT - Full'!A$24:B$312,2,FALSE)</f>
        <v>Do you have existing higher education customers?</v>
      </c>
      <c r="C41" s="128"/>
      <c r="D41" s="127"/>
      <c r="E41" s="126" t="s">
        <v>825</v>
      </c>
      <c r="F41" s="128"/>
      <c r="G41" s="129"/>
      <c r="H41" s="127"/>
      <c r="I41" s="130">
        <v>12.8</v>
      </c>
      <c r="J41" s="7"/>
      <c r="K41" s="9"/>
      <c r="L41" s="9"/>
      <c r="M41" s="9"/>
      <c r="N41" s="9"/>
      <c r="O41" s="9"/>
      <c r="P41" s="9"/>
      <c r="Q41" s="9"/>
      <c r="R41" s="9"/>
      <c r="S41" s="9"/>
      <c r="T41" s="9"/>
      <c r="U41" s="9"/>
      <c r="V41" s="9"/>
      <c r="W41" s="9"/>
      <c r="X41" s="9"/>
      <c r="Y41" s="9"/>
      <c r="Z41" s="9"/>
      <c r="AA41" s="9"/>
      <c r="AB41" s="9"/>
      <c r="AC41" s="9"/>
    </row>
    <row r="42" ht="63.75" customHeight="1">
      <c r="A42" s="51" t="s">
        <v>127</v>
      </c>
      <c r="B42" s="62" t="str">
        <f>VLOOKUP(A42,'HECVAT - Full'!A$24:B$312,2,FALSE)</f>
        <v>Have you had a significant breach in the last 5 years?</v>
      </c>
      <c r="C42" s="128"/>
      <c r="D42" s="127"/>
      <c r="E42" s="127"/>
      <c r="F42" s="128"/>
      <c r="G42" s="128"/>
      <c r="H42" s="127"/>
      <c r="I42" s="127"/>
      <c r="J42" s="7"/>
      <c r="K42" s="9"/>
      <c r="L42" s="9"/>
      <c r="M42" s="9"/>
      <c r="N42" s="9"/>
      <c r="O42" s="9"/>
      <c r="P42" s="9"/>
      <c r="Q42" s="9"/>
      <c r="R42" s="9"/>
      <c r="S42" s="9"/>
      <c r="T42" s="9"/>
      <c r="U42" s="9"/>
      <c r="V42" s="9"/>
      <c r="W42" s="9"/>
      <c r="X42" s="9"/>
      <c r="Y42" s="9"/>
      <c r="Z42" s="9"/>
      <c r="AA42" s="9"/>
      <c r="AB42" s="9"/>
      <c r="AC42" s="9"/>
    </row>
    <row r="43" ht="54.0" customHeight="1">
      <c r="A43" s="51" t="s">
        <v>129</v>
      </c>
      <c r="B43" s="62" t="str">
        <f>VLOOKUP(A43,'HECVAT - Full'!A$24:B$312,2,FALSE)</f>
        <v>Do you have a dedicated Information Security staff or office?</v>
      </c>
      <c r="C43" s="128"/>
      <c r="D43" s="127"/>
      <c r="E43" s="126" t="s">
        <v>825</v>
      </c>
      <c r="F43" s="128"/>
      <c r="G43" s="129"/>
      <c r="H43" s="127"/>
      <c r="I43" s="126" t="s">
        <v>831</v>
      </c>
      <c r="J43" s="7"/>
      <c r="K43" s="9"/>
      <c r="L43" s="9"/>
      <c r="M43" s="9"/>
      <c r="N43" s="9"/>
      <c r="O43" s="9"/>
      <c r="P43" s="9"/>
      <c r="Q43" s="9"/>
      <c r="R43" s="9"/>
      <c r="S43" s="9"/>
      <c r="T43" s="9"/>
      <c r="U43" s="9"/>
      <c r="V43" s="9"/>
      <c r="W43" s="9"/>
      <c r="X43" s="9"/>
      <c r="Y43" s="9"/>
      <c r="Z43" s="9"/>
      <c r="AA43" s="9"/>
      <c r="AB43" s="9"/>
      <c r="AC43" s="9"/>
    </row>
    <row r="44" ht="63.75" customHeight="1">
      <c r="A44" s="51" t="s">
        <v>132</v>
      </c>
      <c r="B44" s="62" t="str">
        <f>VLOOKUP(A44,'HECVAT - Full'!A$24:B$312,2,FALSE)</f>
        <v>Do you have a dedicated Software and System Development team(s)? (e.g. Customer Support, Implementation, Product Management, etc.)</v>
      </c>
      <c r="C44" s="128"/>
      <c r="D44" s="127"/>
      <c r="E44" s="126" t="s">
        <v>832</v>
      </c>
      <c r="F44" s="128"/>
      <c r="G44" s="129"/>
      <c r="H44" s="126" t="s">
        <v>833</v>
      </c>
      <c r="I44" s="130">
        <v>12.8</v>
      </c>
      <c r="J44" s="7"/>
      <c r="K44" s="9"/>
      <c r="L44" s="9"/>
      <c r="M44" s="9"/>
      <c r="N44" s="9"/>
      <c r="O44" s="9"/>
      <c r="P44" s="9"/>
      <c r="Q44" s="9"/>
      <c r="R44" s="9"/>
      <c r="S44" s="9"/>
      <c r="T44" s="9"/>
      <c r="U44" s="9"/>
      <c r="V44" s="9"/>
      <c r="W44" s="9"/>
      <c r="X44" s="9"/>
      <c r="Y44" s="9"/>
      <c r="Z44" s="9"/>
      <c r="AA44" s="9"/>
      <c r="AB44" s="9"/>
      <c r="AC44" s="9"/>
    </row>
    <row r="45" ht="82.5" customHeight="1">
      <c r="A45" s="51" t="s">
        <v>135</v>
      </c>
      <c r="B45" s="62" t="str">
        <f>VLOOKUP(A45,'HECVAT - Full'!A$24:B$312,2,FALSE)</f>
        <v>Use this area to share information about your environment that will assist those who are assessing your company data security program.</v>
      </c>
      <c r="C45" s="128"/>
      <c r="D45" s="127"/>
      <c r="E45" s="126" t="s">
        <v>825</v>
      </c>
      <c r="F45" s="128"/>
      <c r="G45" s="129"/>
      <c r="H45" s="127"/>
      <c r="I45" s="130">
        <v>12.8</v>
      </c>
      <c r="J45" s="7"/>
      <c r="K45" s="9"/>
      <c r="L45" s="9"/>
      <c r="M45" s="9"/>
      <c r="N45" s="9"/>
      <c r="O45" s="9"/>
      <c r="P45" s="9"/>
      <c r="Q45" s="9"/>
      <c r="R45" s="9"/>
      <c r="S45" s="9"/>
      <c r="T45" s="9"/>
      <c r="U45" s="9"/>
      <c r="V45" s="9"/>
      <c r="W45" s="9"/>
      <c r="X45" s="9"/>
      <c r="Y45" s="9"/>
      <c r="Z45" s="9"/>
      <c r="AA45" s="9"/>
      <c r="AB45" s="9"/>
      <c r="AC45" s="9"/>
    </row>
    <row r="46" ht="36.0" customHeight="1">
      <c r="A46" s="45" t="str">
        <f>IF($C$26="No","Third Parties - Optional based on QUALIFIER response.","Third Parties")</f>
        <v>Third Parties</v>
      </c>
      <c r="B46" s="14"/>
      <c r="C46" s="60" t="str">
        <f>$C$22</f>
        <v>CIS Critical Security Controls v6.1</v>
      </c>
      <c r="D46" s="60" t="str">
        <f>$D$22</f>
        <v>HIPAA</v>
      </c>
      <c r="E46" s="60" t="str">
        <f>$E$22</f>
        <v>ISO 27002:2013</v>
      </c>
      <c r="F46" s="60" t="str">
        <f>$F$22</f>
        <v>NIST Cybersecurity Framework</v>
      </c>
      <c r="G46" s="60" t="str">
        <f>$G$22</f>
        <v>NIST SP 800-171r1</v>
      </c>
      <c r="H46" s="60" t="str">
        <f>$H$22</f>
        <v>NIST SP 800-53r4</v>
      </c>
      <c r="I46" s="60" t="s">
        <v>808</v>
      </c>
      <c r="J46" s="7"/>
      <c r="K46" s="9"/>
      <c r="L46" s="9"/>
      <c r="M46" s="9"/>
      <c r="N46" s="9"/>
      <c r="O46" s="9"/>
      <c r="P46" s="9"/>
      <c r="Q46" s="9"/>
      <c r="R46" s="9"/>
      <c r="S46" s="9"/>
      <c r="T46" s="9"/>
      <c r="U46" s="9"/>
      <c r="V46" s="9"/>
      <c r="W46" s="9"/>
      <c r="X46" s="9"/>
      <c r="Y46" s="9"/>
      <c r="Z46" s="9"/>
      <c r="AA46" s="9"/>
      <c r="AB46" s="9"/>
      <c r="AC46" s="9"/>
    </row>
    <row r="47" ht="96.0" customHeight="1">
      <c r="A47" s="51" t="s">
        <v>139</v>
      </c>
      <c r="B47" s="62" t="s">
        <v>140</v>
      </c>
      <c r="C47" s="63" t="s">
        <v>809</v>
      </c>
      <c r="D47" s="127"/>
      <c r="E47" s="126" t="s">
        <v>834</v>
      </c>
      <c r="F47" s="63" t="s">
        <v>835</v>
      </c>
      <c r="G47" s="63" t="s">
        <v>836</v>
      </c>
      <c r="H47" s="126" t="s">
        <v>837</v>
      </c>
      <c r="I47" s="130">
        <v>12.8</v>
      </c>
      <c r="J47" s="7"/>
      <c r="K47" s="9"/>
      <c r="L47" s="9"/>
      <c r="M47" s="9"/>
      <c r="N47" s="9"/>
      <c r="O47" s="9"/>
      <c r="P47" s="9"/>
      <c r="Q47" s="9"/>
      <c r="R47" s="9"/>
      <c r="S47" s="9"/>
      <c r="T47" s="9"/>
      <c r="U47" s="9"/>
      <c r="V47" s="9"/>
      <c r="W47" s="9"/>
      <c r="X47" s="9"/>
      <c r="Y47" s="9"/>
      <c r="Z47" s="9"/>
      <c r="AA47" s="9"/>
      <c r="AB47" s="9"/>
      <c r="AC47" s="9"/>
    </row>
    <row r="48" ht="79.5" customHeight="1">
      <c r="A48" s="51" t="s">
        <v>143</v>
      </c>
      <c r="B48" s="62" t="s">
        <v>144</v>
      </c>
      <c r="C48" s="63" t="s">
        <v>809</v>
      </c>
      <c r="D48" s="127"/>
      <c r="E48" s="126" t="s">
        <v>834</v>
      </c>
      <c r="F48" s="63" t="s">
        <v>835</v>
      </c>
      <c r="G48" s="63" t="s">
        <v>836</v>
      </c>
      <c r="H48" s="127"/>
      <c r="I48" s="130">
        <v>12.8</v>
      </c>
      <c r="J48" s="7"/>
      <c r="K48" s="9"/>
      <c r="L48" s="9"/>
      <c r="M48" s="9"/>
      <c r="N48" s="9"/>
      <c r="O48" s="9"/>
      <c r="P48" s="9"/>
      <c r="Q48" s="9"/>
      <c r="R48" s="9"/>
      <c r="S48" s="9"/>
      <c r="T48" s="9"/>
      <c r="U48" s="9"/>
      <c r="V48" s="9"/>
      <c r="W48" s="9"/>
      <c r="X48" s="9"/>
      <c r="Y48" s="9"/>
      <c r="Z48" s="9"/>
      <c r="AA48" s="9"/>
      <c r="AB48" s="9"/>
      <c r="AC48" s="9"/>
    </row>
    <row r="49" ht="79.5" customHeight="1">
      <c r="A49" s="51" t="s">
        <v>147</v>
      </c>
      <c r="B49" s="62" t="s">
        <v>148</v>
      </c>
      <c r="C49" s="63" t="s">
        <v>809</v>
      </c>
      <c r="D49" s="127"/>
      <c r="E49" s="126" t="s">
        <v>834</v>
      </c>
      <c r="F49" s="63" t="s">
        <v>812</v>
      </c>
      <c r="G49" s="129"/>
      <c r="H49" s="126" t="s">
        <v>838</v>
      </c>
      <c r="I49" s="130">
        <v>12.8</v>
      </c>
      <c r="J49" s="7"/>
      <c r="K49" s="9"/>
      <c r="L49" s="9"/>
      <c r="M49" s="9"/>
      <c r="N49" s="9"/>
      <c r="O49" s="9"/>
      <c r="P49" s="9"/>
      <c r="Q49" s="9"/>
      <c r="R49" s="9"/>
      <c r="S49" s="9"/>
      <c r="T49" s="9"/>
      <c r="U49" s="9"/>
      <c r="V49" s="9"/>
      <c r="W49" s="9"/>
      <c r="X49" s="9"/>
      <c r="Y49" s="9"/>
      <c r="Z49" s="9"/>
      <c r="AA49" s="9"/>
      <c r="AB49" s="9"/>
      <c r="AC49" s="9"/>
    </row>
    <row r="50" ht="79.5" customHeight="1">
      <c r="A50" s="51" t="s">
        <v>151</v>
      </c>
      <c r="B50" s="62" t="s">
        <v>152</v>
      </c>
      <c r="C50" s="128"/>
      <c r="D50" s="127"/>
      <c r="E50" s="126" t="s">
        <v>834</v>
      </c>
      <c r="F50" s="63" t="s">
        <v>816</v>
      </c>
      <c r="G50" s="129"/>
      <c r="H50" s="126" t="s">
        <v>839</v>
      </c>
      <c r="I50" s="130">
        <v>12.8</v>
      </c>
      <c r="J50" s="7"/>
      <c r="K50" s="9"/>
      <c r="L50" s="9"/>
      <c r="M50" s="9"/>
      <c r="N50" s="9"/>
      <c r="O50" s="9"/>
      <c r="P50" s="9"/>
      <c r="Q50" s="9"/>
      <c r="R50" s="9"/>
      <c r="S50" s="9"/>
      <c r="T50" s="9"/>
      <c r="U50" s="9"/>
      <c r="V50" s="9"/>
      <c r="W50" s="9"/>
      <c r="X50" s="9"/>
      <c r="Y50" s="9"/>
      <c r="Z50" s="9"/>
      <c r="AA50" s="9"/>
      <c r="AB50" s="9"/>
      <c r="AC50" s="9"/>
    </row>
    <row r="51" ht="36.0" customHeight="1">
      <c r="A51" s="45" t="str">
        <f>IF($C$30="","Consulting",IF($C$30="Yes","Consulting - All questions after this section are OPTIONAL.","Consulting - Optional based on QUALIFIER response."))</f>
        <v>Consulting - Optional based on QUALIFIER response.</v>
      </c>
      <c r="B51" s="14"/>
      <c r="C51" s="60" t="str">
        <f>$C$22</f>
        <v>CIS Critical Security Controls v6.1</v>
      </c>
      <c r="D51" s="60" t="str">
        <f>$D$22</f>
        <v>HIPAA</v>
      </c>
      <c r="E51" s="60" t="str">
        <f>$E$22</f>
        <v>ISO 27002:2013</v>
      </c>
      <c r="F51" s="60" t="str">
        <f>$F$22</f>
        <v>NIST Cybersecurity Framework</v>
      </c>
      <c r="G51" s="60" t="str">
        <f>$G$22</f>
        <v>NIST SP 800-171r1</v>
      </c>
      <c r="H51" s="60" t="str">
        <f>$H$22</f>
        <v>NIST SP 800-53r4</v>
      </c>
      <c r="I51" s="60" t="s">
        <v>808</v>
      </c>
      <c r="J51" s="7"/>
      <c r="K51" s="9"/>
      <c r="L51" s="9"/>
      <c r="M51" s="9"/>
      <c r="N51" s="9"/>
      <c r="O51" s="9"/>
      <c r="P51" s="9"/>
      <c r="Q51" s="9"/>
      <c r="R51" s="9"/>
      <c r="S51" s="9"/>
      <c r="T51" s="9"/>
      <c r="U51" s="9"/>
      <c r="V51" s="9"/>
      <c r="W51" s="9"/>
      <c r="X51" s="9"/>
      <c r="Y51" s="9"/>
      <c r="Z51" s="9"/>
      <c r="AA51" s="9"/>
      <c r="AB51" s="9"/>
      <c r="AC51" s="9"/>
    </row>
    <row r="52" ht="36.0" customHeight="1">
      <c r="A52" s="51" t="s">
        <v>155</v>
      </c>
      <c r="B52" s="62" t="str">
        <f>VLOOKUP(A52,'HECVAT - Full'!A$24:B$312,2,FALSE)</f>
        <v>Will the consulting take place on-premises?</v>
      </c>
      <c r="C52" s="128"/>
      <c r="D52" s="127"/>
      <c r="E52" s="126" t="s">
        <v>825</v>
      </c>
      <c r="F52" s="63" t="s">
        <v>816</v>
      </c>
      <c r="G52" s="129"/>
      <c r="H52" s="127"/>
      <c r="I52" s="127"/>
      <c r="J52" s="7"/>
      <c r="K52" s="9"/>
      <c r="L52" s="9"/>
      <c r="M52" s="9"/>
      <c r="N52" s="9"/>
      <c r="O52" s="9"/>
      <c r="P52" s="9"/>
      <c r="Q52" s="9"/>
      <c r="R52" s="9"/>
      <c r="S52" s="9"/>
      <c r="T52" s="9"/>
      <c r="U52" s="9"/>
      <c r="V52" s="9"/>
      <c r="W52" s="9"/>
      <c r="X52" s="9"/>
      <c r="Y52" s="9"/>
      <c r="Z52" s="9"/>
      <c r="AA52" s="9"/>
      <c r="AB52" s="9"/>
      <c r="AC52" s="9"/>
    </row>
    <row r="53" ht="63.0" customHeight="1">
      <c r="A53" s="51" t="s">
        <v>157</v>
      </c>
      <c r="B53" s="62" t="str">
        <f>VLOOKUP(A53,'HECVAT - Full'!A$24:B$312,2,FALSE)</f>
        <v>Will the consultant require access to Institution's network resources?</v>
      </c>
      <c r="C53" s="63" t="s">
        <v>823</v>
      </c>
      <c r="D53" s="127"/>
      <c r="E53" s="126" t="s">
        <v>840</v>
      </c>
      <c r="F53" s="63" t="s">
        <v>816</v>
      </c>
      <c r="G53" s="63" t="s">
        <v>841</v>
      </c>
      <c r="H53" s="126" t="s">
        <v>842</v>
      </c>
      <c r="I53" s="127"/>
      <c r="J53" s="7"/>
      <c r="K53" s="9"/>
      <c r="L53" s="9"/>
      <c r="M53" s="9"/>
      <c r="N53" s="9"/>
      <c r="O53" s="9"/>
      <c r="P53" s="9"/>
      <c r="Q53" s="9"/>
      <c r="R53" s="9"/>
      <c r="S53" s="9"/>
      <c r="T53" s="9"/>
      <c r="U53" s="9"/>
      <c r="V53" s="9"/>
      <c r="W53" s="9"/>
      <c r="X53" s="9"/>
      <c r="Y53" s="9"/>
      <c r="Z53" s="9"/>
      <c r="AA53" s="9"/>
      <c r="AB53" s="9"/>
      <c r="AC53" s="9"/>
    </row>
    <row r="54" ht="63.0" customHeight="1">
      <c r="A54" s="51" t="s">
        <v>159</v>
      </c>
      <c r="B54" s="62" t="str">
        <f>VLOOKUP(A54,'HECVAT - Full'!A$24:B$312,2,FALSE)</f>
        <v>Will the consultant require access to hardware in the Institution's data centers?</v>
      </c>
      <c r="C54" s="63" t="s">
        <v>823</v>
      </c>
      <c r="D54" s="127"/>
      <c r="E54" s="126" t="s">
        <v>843</v>
      </c>
      <c r="F54" s="63" t="s">
        <v>816</v>
      </c>
      <c r="G54" s="63" t="s">
        <v>844</v>
      </c>
      <c r="H54" s="127"/>
      <c r="I54" s="127"/>
      <c r="J54" s="7"/>
      <c r="K54" s="9"/>
      <c r="L54" s="9"/>
      <c r="M54" s="9"/>
      <c r="N54" s="9"/>
      <c r="O54" s="9"/>
      <c r="P54" s="9"/>
      <c r="Q54" s="9"/>
      <c r="R54" s="9"/>
      <c r="S54" s="9"/>
      <c r="T54" s="9"/>
      <c r="U54" s="9"/>
      <c r="V54" s="9"/>
      <c r="W54" s="9"/>
      <c r="X54" s="9"/>
      <c r="Y54" s="9"/>
      <c r="Z54" s="9"/>
      <c r="AA54" s="9"/>
      <c r="AB54" s="9"/>
      <c r="AC54" s="9"/>
    </row>
    <row r="55" ht="48.0" customHeight="1">
      <c r="A55" s="51" t="s">
        <v>161</v>
      </c>
      <c r="B55" s="62" t="str">
        <f>VLOOKUP(A55,'HECVAT - Full'!A$24:B$312,2,FALSE)</f>
        <v>Will the consultant require an account within the Institution's domain (@*.edu)?</v>
      </c>
      <c r="C55" s="63" t="s">
        <v>823</v>
      </c>
      <c r="D55" s="127"/>
      <c r="E55" s="127"/>
      <c r="F55" s="63" t="s">
        <v>816</v>
      </c>
      <c r="G55" s="129"/>
      <c r="H55" s="127"/>
      <c r="I55" s="127"/>
      <c r="J55" s="7"/>
      <c r="K55" s="9"/>
      <c r="L55" s="9"/>
      <c r="M55" s="9"/>
      <c r="N55" s="9"/>
      <c r="O55" s="9"/>
      <c r="P55" s="9"/>
      <c r="Q55" s="9"/>
      <c r="R55" s="9"/>
      <c r="S55" s="9"/>
      <c r="T55" s="9"/>
      <c r="U55" s="9"/>
      <c r="V55" s="9"/>
      <c r="W55" s="9"/>
      <c r="X55" s="9"/>
      <c r="Y55" s="9"/>
      <c r="Z55" s="9"/>
      <c r="AA55" s="9"/>
      <c r="AB55" s="9"/>
      <c r="AC55" s="9"/>
    </row>
    <row r="56" ht="48.0" customHeight="1">
      <c r="A56" s="51" t="s">
        <v>163</v>
      </c>
      <c r="B56" s="62" t="str">
        <f>VLOOKUP(A56,'HECVAT - Full'!A$24:B$312,2,FALSE)</f>
        <v>Has the consultant received training on [sensitive, HIPAA, PCI, etc.] data handling?</v>
      </c>
      <c r="C56" s="63" t="s">
        <v>809</v>
      </c>
      <c r="D56" s="127"/>
      <c r="E56" s="126" t="s">
        <v>811</v>
      </c>
      <c r="F56" s="63" t="s">
        <v>816</v>
      </c>
      <c r="G56" s="129"/>
      <c r="H56" s="127"/>
      <c r="I56" s="127"/>
      <c r="J56" s="7"/>
      <c r="K56" s="9"/>
      <c r="L56" s="9"/>
      <c r="M56" s="9"/>
      <c r="N56" s="9"/>
      <c r="O56" s="9"/>
      <c r="P56" s="9"/>
      <c r="Q56" s="9"/>
      <c r="R56" s="9"/>
      <c r="S56" s="9"/>
      <c r="T56" s="9"/>
      <c r="U56" s="9"/>
      <c r="V56" s="9"/>
      <c r="W56" s="9"/>
      <c r="X56" s="9"/>
      <c r="Y56" s="9"/>
      <c r="Z56" s="9"/>
      <c r="AA56" s="9"/>
      <c r="AB56" s="9"/>
      <c r="AC56" s="9"/>
    </row>
    <row r="57" ht="48.0" customHeight="1">
      <c r="A57" s="51" t="s">
        <v>166</v>
      </c>
      <c r="B57" s="62" t="str">
        <f>VLOOKUP(A57,'HECVAT - Full'!A$24:B$312,2,FALSE)</f>
        <v>Will any data be transferred to the consultant's possession?</v>
      </c>
      <c r="C57" s="63" t="s">
        <v>809</v>
      </c>
      <c r="D57" s="127"/>
      <c r="E57" s="126" t="s">
        <v>845</v>
      </c>
      <c r="F57" s="63" t="s">
        <v>816</v>
      </c>
      <c r="G57" s="63" t="s">
        <v>836</v>
      </c>
      <c r="H57" s="126" t="s">
        <v>846</v>
      </c>
      <c r="I57" s="127"/>
      <c r="J57" s="7"/>
      <c r="K57" s="9"/>
      <c r="L57" s="9"/>
      <c r="M57" s="9"/>
      <c r="N57" s="9"/>
      <c r="O57" s="9"/>
      <c r="P57" s="9"/>
      <c r="Q57" s="9"/>
      <c r="R57" s="9"/>
      <c r="S57" s="9"/>
      <c r="T57" s="9"/>
      <c r="U57" s="9"/>
      <c r="V57" s="9"/>
      <c r="W57" s="9"/>
      <c r="X57" s="9"/>
      <c r="Y57" s="9"/>
      <c r="Z57" s="9"/>
      <c r="AA57" s="9"/>
      <c r="AB57" s="9"/>
      <c r="AC57" s="9"/>
    </row>
    <row r="58" ht="48.0" customHeight="1">
      <c r="A58" s="51" t="s">
        <v>168</v>
      </c>
      <c r="B58" s="51" t="str">
        <f>VLOOKUP(A58,'HECVAT - Full'!A$24:B$312,2,FALSE)</f>
        <v>Is it encrypted (at rest) while in the consultant's possession?</v>
      </c>
      <c r="C58" s="81" t="s">
        <v>809</v>
      </c>
      <c r="D58" s="127"/>
      <c r="E58" s="131" t="s">
        <v>847</v>
      </c>
      <c r="F58" s="81" t="s">
        <v>816</v>
      </c>
      <c r="G58" s="81" t="s">
        <v>848</v>
      </c>
      <c r="H58" s="131" t="s">
        <v>846</v>
      </c>
      <c r="I58" s="127"/>
      <c r="J58" s="79"/>
      <c r="K58" s="80"/>
      <c r="L58" s="80"/>
      <c r="M58" s="80"/>
      <c r="N58" s="80"/>
      <c r="O58" s="80"/>
      <c r="P58" s="80"/>
      <c r="Q58" s="80"/>
      <c r="R58" s="80"/>
      <c r="S58" s="80"/>
      <c r="T58" s="80"/>
      <c r="U58" s="80"/>
      <c r="V58" s="80"/>
      <c r="W58" s="80"/>
      <c r="X58" s="80"/>
      <c r="Y58" s="80"/>
      <c r="Z58" s="80"/>
      <c r="AA58" s="80"/>
      <c r="AB58" s="80"/>
      <c r="AC58" s="80"/>
    </row>
    <row r="59" ht="36.0" customHeight="1">
      <c r="A59" s="51" t="s">
        <v>171</v>
      </c>
      <c r="B59" s="62" t="str">
        <f>VLOOKUP(A59,'HECVAT - Full'!A$24:B$312,2,FALSE)</f>
        <v>Will the consultant need remote access to the Institution's network or systems?</v>
      </c>
      <c r="C59" s="63" t="s">
        <v>823</v>
      </c>
      <c r="D59" s="127"/>
      <c r="E59" s="126" t="s">
        <v>845</v>
      </c>
      <c r="F59" s="63" t="s">
        <v>816</v>
      </c>
      <c r="G59" s="129"/>
      <c r="H59" s="127"/>
      <c r="I59" s="127"/>
      <c r="J59" s="7"/>
      <c r="K59" s="9"/>
      <c r="L59" s="9"/>
      <c r="M59" s="9"/>
      <c r="N59" s="9"/>
      <c r="O59" s="9"/>
      <c r="P59" s="9"/>
      <c r="Q59" s="9"/>
      <c r="R59" s="9"/>
      <c r="S59" s="9"/>
      <c r="T59" s="9"/>
      <c r="U59" s="9"/>
      <c r="V59" s="9"/>
      <c r="W59" s="9"/>
      <c r="X59" s="9"/>
      <c r="Y59" s="9"/>
      <c r="Z59" s="9"/>
      <c r="AA59" s="9"/>
      <c r="AB59" s="9"/>
      <c r="AC59" s="9"/>
    </row>
    <row r="60" ht="36.0" customHeight="1">
      <c r="A60" s="51" t="s">
        <v>173</v>
      </c>
      <c r="B60" s="51" t="str">
        <f>VLOOKUP(A60,'HECVAT - Full'!A$24:B$312,2,FALSE)</f>
        <v>Can we restrict that access based on source IP address?</v>
      </c>
      <c r="C60" s="127"/>
      <c r="D60" s="127"/>
      <c r="E60" s="131" t="s">
        <v>845</v>
      </c>
      <c r="F60" s="81" t="s">
        <v>816</v>
      </c>
      <c r="G60" s="132"/>
      <c r="H60" s="127"/>
      <c r="I60" s="127"/>
      <c r="J60" s="79"/>
      <c r="K60" s="80"/>
      <c r="L60" s="80"/>
      <c r="M60" s="80"/>
      <c r="N60" s="80"/>
      <c r="O60" s="80"/>
      <c r="P60" s="80"/>
      <c r="Q60" s="80"/>
      <c r="R60" s="80"/>
      <c r="S60" s="80"/>
      <c r="T60" s="80"/>
      <c r="U60" s="80"/>
      <c r="V60" s="80"/>
      <c r="W60" s="80"/>
      <c r="X60" s="80"/>
      <c r="Y60" s="80"/>
      <c r="Z60" s="80"/>
      <c r="AA60" s="80"/>
      <c r="AB60" s="80"/>
      <c r="AC60" s="80"/>
    </row>
    <row r="61" ht="36.0" customHeight="1">
      <c r="A61" s="45" t="str">
        <f>IF($C$30="","Application/Service Security",IF($C$30="Yes","App/Service Security - Optional based on QUALIFIER response.","Application/Service Security"))</f>
        <v>Application/Service Security</v>
      </c>
      <c r="B61" s="14"/>
      <c r="C61" s="60" t="str">
        <f>$C$22</f>
        <v>CIS Critical Security Controls v6.1</v>
      </c>
      <c r="D61" s="60" t="str">
        <f>$D$22</f>
        <v>HIPAA</v>
      </c>
      <c r="E61" s="60" t="str">
        <f>$E$22</f>
        <v>ISO 27002:2013</v>
      </c>
      <c r="F61" s="60" t="str">
        <f>$F$22</f>
        <v>NIST Cybersecurity Framework</v>
      </c>
      <c r="G61" s="60" t="str">
        <f>$G$22</f>
        <v>NIST SP 800-171r1</v>
      </c>
      <c r="H61" s="60" t="str">
        <f>$H$22</f>
        <v>NIST SP 800-53r4</v>
      </c>
      <c r="I61" s="60" t="s">
        <v>808</v>
      </c>
      <c r="J61" s="7"/>
      <c r="K61" s="9"/>
      <c r="L61" s="9"/>
      <c r="M61" s="9"/>
      <c r="N61" s="9"/>
      <c r="O61" s="9"/>
      <c r="P61" s="9"/>
      <c r="Q61" s="9"/>
      <c r="R61" s="9"/>
      <c r="S61" s="9"/>
      <c r="T61" s="9"/>
      <c r="U61" s="9"/>
      <c r="V61" s="9"/>
      <c r="W61" s="9"/>
      <c r="X61" s="9"/>
      <c r="Y61" s="9"/>
      <c r="Z61" s="9"/>
      <c r="AA61" s="9"/>
      <c r="AB61" s="9"/>
      <c r="AC61" s="9"/>
    </row>
    <row r="62" ht="48.75" customHeight="1">
      <c r="A62" s="51" t="s">
        <v>175</v>
      </c>
      <c r="B62" s="62" t="str">
        <f>VLOOKUP(A62,'HECVAT - Full'!A$24:B$312,2,FALSE)</f>
        <v>Do you support role-based access control (RBAC) for end-users?</v>
      </c>
      <c r="C62" s="63" t="s">
        <v>814</v>
      </c>
      <c r="D62" s="127"/>
      <c r="E62" s="127"/>
      <c r="F62" s="63" t="s">
        <v>849</v>
      </c>
      <c r="G62" s="129"/>
      <c r="H62" s="127"/>
      <c r="I62" s="127"/>
      <c r="J62" s="7"/>
      <c r="K62" s="9"/>
      <c r="L62" s="9"/>
      <c r="M62" s="9"/>
      <c r="N62" s="9"/>
      <c r="O62" s="9"/>
      <c r="P62" s="9"/>
      <c r="Q62" s="9"/>
      <c r="R62" s="9"/>
      <c r="S62" s="9"/>
      <c r="T62" s="9"/>
      <c r="U62" s="9"/>
      <c r="V62" s="9"/>
      <c r="W62" s="9"/>
      <c r="X62" s="9"/>
      <c r="Y62" s="9"/>
      <c r="Z62" s="9"/>
      <c r="AA62" s="9"/>
      <c r="AB62" s="9"/>
      <c r="AC62" s="9"/>
    </row>
    <row r="63" ht="48.0" customHeight="1">
      <c r="A63" s="51" t="s">
        <v>178</v>
      </c>
      <c r="B63" s="62" t="str">
        <f>VLOOKUP(A63,'HECVAT - Full'!A$24:B$312,2,FALSE)</f>
        <v>Do you support role-based access control (RBAC) for system administrators?</v>
      </c>
      <c r="C63" s="63" t="s">
        <v>850</v>
      </c>
      <c r="D63" s="127"/>
      <c r="E63" s="126" t="s">
        <v>851</v>
      </c>
      <c r="F63" s="63" t="s">
        <v>849</v>
      </c>
      <c r="G63" s="129"/>
      <c r="H63" s="127"/>
      <c r="I63" s="127"/>
      <c r="J63" s="7"/>
      <c r="K63" s="9"/>
      <c r="L63" s="9"/>
      <c r="M63" s="9"/>
      <c r="N63" s="9"/>
      <c r="O63" s="9"/>
      <c r="P63" s="9"/>
      <c r="Q63" s="9"/>
      <c r="R63" s="9"/>
      <c r="S63" s="9"/>
      <c r="T63" s="9"/>
      <c r="U63" s="9"/>
      <c r="V63" s="9"/>
      <c r="W63" s="9"/>
      <c r="X63" s="9"/>
      <c r="Y63" s="9"/>
      <c r="Z63" s="9"/>
      <c r="AA63" s="9"/>
      <c r="AB63" s="9"/>
      <c r="AC63" s="9"/>
    </row>
    <row r="64" ht="48.0" customHeight="1">
      <c r="A64" s="51" t="s">
        <v>181</v>
      </c>
      <c r="B64" s="62" t="str">
        <f>VLOOKUP(A64,'HECVAT - Full'!A$24:B$312,2,FALSE)</f>
        <v>Can employees access customer data remotely?</v>
      </c>
      <c r="C64" s="63" t="s">
        <v>823</v>
      </c>
      <c r="D64" s="129"/>
      <c r="E64" s="130">
        <v>6.2</v>
      </c>
      <c r="F64" s="63" t="s">
        <v>852</v>
      </c>
      <c r="G64" s="63" t="s">
        <v>844</v>
      </c>
      <c r="H64" s="126" t="s">
        <v>853</v>
      </c>
      <c r="I64" s="126" t="s">
        <v>854</v>
      </c>
      <c r="J64" s="7"/>
      <c r="K64" s="9"/>
      <c r="L64" s="9"/>
      <c r="M64" s="9"/>
      <c r="N64" s="9"/>
      <c r="O64" s="9"/>
      <c r="P64" s="9"/>
      <c r="Q64" s="9"/>
      <c r="R64" s="9"/>
      <c r="S64" s="9"/>
      <c r="T64" s="9"/>
      <c r="U64" s="9"/>
      <c r="V64" s="9"/>
      <c r="W64" s="9"/>
      <c r="X64" s="9"/>
      <c r="Y64" s="9"/>
      <c r="Z64" s="9"/>
      <c r="AA64" s="9"/>
      <c r="AB64" s="9"/>
      <c r="AC64" s="9"/>
    </row>
    <row r="65" ht="63.75" customHeight="1">
      <c r="A65" s="51" t="s">
        <v>184</v>
      </c>
      <c r="B65" s="62" t="str">
        <f>VLOOKUP(A65,'HECVAT - Full'!A$24:B$312,2,FALSE)</f>
        <v>Can you provide overall system and/or application architecture diagrams including a full description of the data communications architecture for all components of the system?</v>
      </c>
      <c r="C65" s="63" t="s">
        <v>855</v>
      </c>
      <c r="D65" s="127"/>
      <c r="E65" s="126" t="s">
        <v>856</v>
      </c>
      <c r="F65" s="63" t="s">
        <v>857</v>
      </c>
      <c r="G65" s="63" t="s">
        <v>858</v>
      </c>
      <c r="H65" s="126" t="s">
        <v>859</v>
      </c>
      <c r="I65" s="126" t="s">
        <v>854</v>
      </c>
      <c r="J65" s="7"/>
      <c r="K65" s="9"/>
      <c r="L65" s="9"/>
      <c r="M65" s="9"/>
      <c r="N65" s="9"/>
      <c r="O65" s="9"/>
      <c r="P65" s="9"/>
      <c r="Q65" s="9"/>
      <c r="R65" s="9"/>
      <c r="S65" s="9"/>
      <c r="T65" s="9"/>
      <c r="U65" s="9"/>
      <c r="V65" s="9"/>
      <c r="W65" s="9"/>
      <c r="X65" s="9"/>
      <c r="Y65" s="9"/>
      <c r="Z65" s="9"/>
      <c r="AA65" s="9"/>
      <c r="AB65" s="9"/>
      <c r="AC65" s="9"/>
    </row>
    <row r="66" ht="63.0" customHeight="1">
      <c r="A66" s="28" t="s">
        <v>187</v>
      </c>
      <c r="B66" s="62" t="str">
        <f>VLOOKUP(A66,'HECVAT - Full'!A$24:B$312,2,FALSE)</f>
        <v>Does the system provide data input validation and error messages? </v>
      </c>
      <c r="C66" s="63" t="s">
        <v>814</v>
      </c>
      <c r="D66" s="127"/>
      <c r="E66" s="127"/>
      <c r="F66" s="63" t="s">
        <v>849</v>
      </c>
      <c r="G66" s="128"/>
      <c r="H66" s="127"/>
      <c r="I66" s="127"/>
      <c r="J66" s="7"/>
      <c r="K66" s="9"/>
      <c r="L66" s="9"/>
      <c r="M66" s="9"/>
      <c r="N66" s="9"/>
      <c r="O66" s="9"/>
      <c r="P66" s="9"/>
      <c r="Q66" s="9"/>
      <c r="R66" s="9"/>
      <c r="S66" s="9"/>
      <c r="T66" s="9"/>
      <c r="U66" s="9"/>
      <c r="V66" s="9"/>
      <c r="W66" s="9"/>
      <c r="X66" s="9"/>
      <c r="Y66" s="9"/>
      <c r="Z66" s="9"/>
      <c r="AA66" s="9"/>
      <c r="AB66" s="9"/>
      <c r="AC66" s="9"/>
    </row>
    <row r="67" ht="52.5" customHeight="1">
      <c r="A67" s="51" t="s">
        <v>190</v>
      </c>
      <c r="B67" s="62" t="str">
        <f>VLOOKUP(A67,'HECVAT - Full'!A$24:B$312,2,FALSE)</f>
        <v>Do you employ a single-tenant environment? </v>
      </c>
      <c r="C67" s="63" t="s">
        <v>860</v>
      </c>
      <c r="D67" s="129"/>
      <c r="E67" s="130">
        <v>6.2</v>
      </c>
      <c r="F67" s="63" t="s">
        <v>861</v>
      </c>
      <c r="G67" s="63" t="s">
        <v>862</v>
      </c>
      <c r="H67" s="126" t="s">
        <v>863</v>
      </c>
      <c r="I67" s="129"/>
      <c r="J67" s="7"/>
      <c r="K67" s="9"/>
      <c r="L67" s="9"/>
      <c r="M67" s="9"/>
      <c r="N67" s="9"/>
      <c r="O67" s="9"/>
      <c r="P67" s="9"/>
      <c r="Q67" s="9"/>
      <c r="R67" s="9"/>
      <c r="S67" s="9"/>
      <c r="T67" s="9"/>
      <c r="U67" s="9"/>
      <c r="V67" s="9"/>
      <c r="W67" s="9"/>
      <c r="X67" s="9"/>
      <c r="Y67" s="9"/>
      <c r="Z67" s="9"/>
      <c r="AA67" s="9"/>
      <c r="AB67" s="9"/>
      <c r="AC67" s="9"/>
    </row>
    <row r="68" ht="79.5" customHeight="1">
      <c r="A68" s="51" t="s">
        <v>192</v>
      </c>
      <c r="B68" s="62" t="str">
        <f>VLOOKUP(A68,'HECVAT - Full'!A$24:B$312,2,FALSE)</f>
        <v>What operating system(s) is/are leveraged by the system(s)/application(s) that will have access to institution's data?</v>
      </c>
      <c r="C68" s="63" t="s">
        <v>864</v>
      </c>
      <c r="D68" s="129"/>
      <c r="E68" s="126" t="s">
        <v>865</v>
      </c>
      <c r="F68" s="63" t="s">
        <v>861</v>
      </c>
      <c r="G68" s="129"/>
      <c r="H68" s="126" t="s">
        <v>853</v>
      </c>
      <c r="I68" s="129"/>
      <c r="J68" s="7"/>
      <c r="K68" s="9"/>
      <c r="L68" s="9"/>
      <c r="M68" s="9"/>
      <c r="N68" s="9"/>
      <c r="O68" s="9"/>
      <c r="P68" s="9"/>
      <c r="Q68" s="9"/>
      <c r="R68" s="9"/>
      <c r="S68" s="9"/>
      <c r="T68" s="9"/>
      <c r="U68" s="9"/>
      <c r="V68" s="9"/>
      <c r="W68" s="9"/>
      <c r="X68" s="9"/>
      <c r="Y68" s="9"/>
      <c r="Z68" s="9"/>
      <c r="AA68" s="9"/>
      <c r="AB68" s="9"/>
      <c r="AC68" s="9"/>
    </row>
    <row r="69" ht="79.5" customHeight="1">
      <c r="A69" s="51" t="s">
        <v>196</v>
      </c>
      <c r="B69" s="51" t="str">
        <f>VLOOKUP(A69,'HECVAT - Full'!A$24:B$312,2,FALSE)</f>
        <v>Have you or any third party you contract with that may have access or allow access to the institution's data experienced a breach?</v>
      </c>
      <c r="C69" s="129"/>
      <c r="D69" s="129"/>
      <c r="E69" s="133">
        <v>16.0</v>
      </c>
      <c r="F69" s="129"/>
      <c r="G69" s="129"/>
      <c r="H69" s="129"/>
      <c r="I69" s="134" t="s">
        <v>866</v>
      </c>
      <c r="J69" s="79"/>
      <c r="K69" s="80"/>
      <c r="L69" s="80"/>
      <c r="M69" s="80"/>
      <c r="N69" s="80"/>
      <c r="O69" s="80"/>
      <c r="P69" s="80"/>
      <c r="Q69" s="80"/>
      <c r="R69" s="80"/>
      <c r="S69" s="80"/>
      <c r="T69" s="80"/>
      <c r="U69" s="80"/>
      <c r="V69" s="80"/>
      <c r="W69" s="80"/>
      <c r="X69" s="80"/>
      <c r="Y69" s="80"/>
      <c r="Z69" s="80"/>
      <c r="AA69" s="80"/>
      <c r="AB69" s="80"/>
      <c r="AC69" s="80"/>
    </row>
    <row r="70" ht="72.0" customHeight="1">
      <c r="A70" s="51" t="s">
        <v>198</v>
      </c>
      <c r="B70" s="62" t="str">
        <f>VLOOKUP(A70,'HECVAT - Full'!A$24:B$312,2,FALSE)</f>
        <v>Describe or provide a reference to additional software/products necessary to implement a functional system on either the backend or user-interface side of the system. </v>
      </c>
      <c r="C70" s="63" t="s">
        <v>864</v>
      </c>
      <c r="D70" s="129"/>
      <c r="E70" s="126" t="s">
        <v>865</v>
      </c>
      <c r="F70" s="63" t="s">
        <v>867</v>
      </c>
      <c r="G70" s="129"/>
      <c r="H70" s="129"/>
      <c r="I70" s="129"/>
      <c r="J70" s="7"/>
      <c r="K70" s="9"/>
      <c r="L70" s="9"/>
      <c r="M70" s="9"/>
      <c r="N70" s="9"/>
      <c r="O70" s="9"/>
      <c r="P70" s="9"/>
      <c r="Q70" s="9"/>
      <c r="R70" s="9"/>
      <c r="S70" s="9"/>
      <c r="T70" s="9"/>
      <c r="U70" s="9"/>
      <c r="V70" s="9"/>
      <c r="W70" s="9"/>
      <c r="X70" s="9"/>
      <c r="Y70" s="9"/>
      <c r="Z70" s="9"/>
      <c r="AA70" s="9"/>
      <c r="AB70" s="9"/>
      <c r="AC70" s="9"/>
    </row>
    <row r="71" ht="63.75" customHeight="1">
      <c r="A71" s="51" t="s">
        <v>202</v>
      </c>
      <c r="B71" s="62" t="str">
        <f>VLOOKUP(A71,'HECVAT - Full'!A$24:B$312,2,FALSE)</f>
        <v>Describe or provide a reference to the overall system and/or application architecture(s), including appropriate diagrams. Include a full description of the data communications architecture for all components of the system. </v>
      </c>
      <c r="C71" s="63" t="s">
        <v>864</v>
      </c>
      <c r="D71" s="129"/>
      <c r="E71" s="126" t="s">
        <v>868</v>
      </c>
      <c r="F71" s="63" t="s">
        <v>869</v>
      </c>
      <c r="G71" s="129"/>
      <c r="H71" s="126" t="s">
        <v>870</v>
      </c>
      <c r="I71" s="130">
        <v>2.4</v>
      </c>
      <c r="J71" s="7"/>
      <c r="K71" s="9"/>
      <c r="L71" s="9"/>
      <c r="M71" s="9"/>
      <c r="N71" s="9"/>
      <c r="O71" s="9"/>
      <c r="P71" s="9"/>
      <c r="Q71" s="9"/>
      <c r="R71" s="9"/>
      <c r="S71" s="9"/>
      <c r="T71" s="9"/>
      <c r="U71" s="9"/>
      <c r="V71" s="9"/>
      <c r="W71" s="9"/>
      <c r="X71" s="9"/>
      <c r="Y71" s="9"/>
      <c r="Z71" s="9"/>
      <c r="AA71" s="9"/>
      <c r="AB71" s="9"/>
      <c r="AC71" s="9"/>
    </row>
    <row r="72" ht="63.75" customHeight="1">
      <c r="A72" s="51" t="s">
        <v>206</v>
      </c>
      <c r="B72" s="62" t="str">
        <f>VLOOKUP(A72,'HECVAT - Full'!A$24:B$312,2,FALSE)</f>
        <v>Are databases used in the system segregated from front-end systems? (e.g. web and application servers)</v>
      </c>
      <c r="C72" s="63" t="s">
        <v>809</v>
      </c>
      <c r="D72" s="129"/>
      <c r="E72" s="126" t="s">
        <v>871</v>
      </c>
      <c r="F72" s="129"/>
      <c r="G72" s="129"/>
      <c r="H72" s="129"/>
      <c r="I72" s="129"/>
      <c r="J72" s="7"/>
      <c r="K72" s="9"/>
      <c r="L72" s="9"/>
      <c r="M72" s="9"/>
      <c r="N72" s="9"/>
      <c r="O72" s="9"/>
      <c r="P72" s="9"/>
      <c r="Q72" s="9"/>
      <c r="R72" s="9"/>
      <c r="S72" s="9"/>
      <c r="T72" s="9"/>
      <c r="U72" s="9"/>
      <c r="V72" s="9"/>
      <c r="W72" s="9"/>
      <c r="X72" s="9"/>
      <c r="Y72" s="9"/>
      <c r="Z72" s="9"/>
      <c r="AA72" s="9"/>
      <c r="AB72" s="9"/>
      <c r="AC72" s="9"/>
    </row>
    <row r="73" ht="48.0" customHeight="1">
      <c r="A73" s="51" t="s">
        <v>209</v>
      </c>
      <c r="B73" s="62" t="str">
        <f>VLOOKUP(A73,'HECVAT - Full'!A$24:B$312,2,FALSE)</f>
        <v>Describe or provide a reference to all web-enabled features and functionality of the system (i.e. accessed via a web-based interface). </v>
      </c>
      <c r="C73" s="63" t="s">
        <v>872</v>
      </c>
      <c r="D73" s="129"/>
      <c r="E73" s="126" t="s">
        <v>868</v>
      </c>
      <c r="F73" s="129"/>
      <c r="G73" s="129"/>
      <c r="H73" s="129"/>
      <c r="I73" s="129"/>
      <c r="J73" s="7"/>
      <c r="K73" s="9"/>
      <c r="L73" s="9"/>
      <c r="M73" s="9"/>
      <c r="N73" s="9"/>
      <c r="O73" s="9"/>
      <c r="P73" s="9"/>
      <c r="Q73" s="9"/>
      <c r="R73" s="9"/>
      <c r="S73" s="9"/>
      <c r="T73" s="9"/>
      <c r="U73" s="9"/>
      <c r="V73" s="9"/>
      <c r="W73" s="9"/>
      <c r="X73" s="9"/>
      <c r="Y73" s="9"/>
      <c r="Z73" s="9"/>
      <c r="AA73" s="9"/>
      <c r="AB73" s="9"/>
      <c r="AC73" s="9"/>
    </row>
    <row r="74" ht="64.5" customHeight="1">
      <c r="A74" s="51" t="s">
        <v>213</v>
      </c>
      <c r="B74" s="62" t="str">
        <f>VLOOKUP(A74,'HECVAT - Full'!A$24:B$312,2,FALSE)</f>
        <v>Are there any OS and/or web-browser combinations that are not currently supported?</v>
      </c>
      <c r="C74" s="63" t="s">
        <v>872</v>
      </c>
      <c r="D74" s="129"/>
      <c r="E74" s="126" t="s">
        <v>865</v>
      </c>
      <c r="F74" s="129"/>
      <c r="G74" s="129"/>
      <c r="H74" s="129"/>
      <c r="I74" s="129"/>
      <c r="J74" s="7"/>
      <c r="K74" s="9"/>
      <c r="L74" s="9"/>
      <c r="M74" s="9"/>
      <c r="N74" s="9"/>
      <c r="O74" s="9"/>
      <c r="P74" s="9"/>
      <c r="Q74" s="9"/>
      <c r="R74" s="9"/>
      <c r="S74" s="9"/>
      <c r="T74" s="9"/>
      <c r="U74" s="9"/>
      <c r="V74" s="9"/>
      <c r="W74" s="9"/>
      <c r="X74" s="9"/>
      <c r="Y74" s="9"/>
      <c r="Z74" s="9"/>
      <c r="AA74" s="9"/>
      <c r="AB74" s="9"/>
      <c r="AC74" s="9"/>
    </row>
    <row r="75" ht="64.5" customHeight="1">
      <c r="A75" s="51" t="s">
        <v>215</v>
      </c>
      <c r="B75" s="62" t="str">
        <f>VLOOKUP(A75,'HECVAT - Full'!A$24:B$312,2,FALSE)</f>
        <v>Can your system take advantage of mobile and/or GPS enabled mobile devices?  </v>
      </c>
      <c r="C75" s="63" t="s">
        <v>864</v>
      </c>
      <c r="D75" s="129"/>
      <c r="E75" s="129"/>
      <c r="F75" s="129"/>
      <c r="G75" s="129"/>
      <c r="H75" s="129"/>
      <c r="I75" s="129"/>
      <c r="J75" s="7"/>
      <c r="K75" s="9"/>
      <c r="L75" s="9"/>
      <c r="M75" s="9"/>
      <c r="N75" s="9"/>
      <c r="O75" s="9"/>
      <c r="P75" s="9"/>
      <c r="Q75" s="9"/>
      <c r="R75" s="9"/>
      <c r="S75" s="9"/>
      <c r="T75" s="9"/>
      <c r="U75" s="9"/>
      <c r="V75" s="9"/>
      <c r="W75" s="9"/>
      <c r="X75" s="9"/>
      <c r="Y75" s="9"/>
      <c r="Z75" s="9"/>
      <c r="AA75" s="9"/>
      <c r="AB75" s="9"/>
      <c r="AC75" s="9"/>
    </row>
    <row r="76" ht="63.0" customHeight="1">
      <c r="A76" s="51" t="s">
        <v>218</v>
      </c>
      <c r="B76" s="62" t="str">
        <f>VLOOKUP(A76,'HECVAT - Full'!A$24:B$312,2,FALSE)</f>
        <v>Describe or provide a reference to the facilities available in the system to provide separation of duties between security administration and system administration functions.</v>
      </c>
      <c r="C76" s="63" t="s">
        <v>823</v>
      </c>
      <c r="D76" s="129"/>
      <c r="E76" s="126" t="s">
        <v>873</v>
      </c>
      <c r="F76" s="63" t="s">
        <v>857</v>
      </c>
      <c r="G76" s="63" t="s">
        <v>874</v>
      </c>
      <c r="H76" s="126" t="s">
        <v>875</v>
      </c>
      <c r="I76" s="126" t="s">
        <v>876</v>
      </c>
      <c r="J76" s="7"/>
      <c r="K76" s="9"/>
      <c r="L76" s="9"/>
      <c r="M76" s="9"/>
      <c r="N76" s="9"/>
      <c r="O76" s="9"/>
      <c r="P76" s="9"/>
      <c r="Q76" s="9"/>
      <c r="R76" s="9"/>
      <c r="S76" s="9"/>
      <c r="T76" s="9"/>
      <c r="U76" s="9"/>
      <c r="V76" s="9"/>
      <c r="W76" s="9"/>
      <c r="X76" s="9"/>
      <c r="Y76" s="9"/>
      <c r="Z76" s="9"/>
      <c r="AA76" s="9"/>
      <c r="AB76" s="9"/>
      <c r="AC76" s="9"/>
    </row>
    <row r="77" ht="64.5" customHeight="1">
      <c r="A77" s="51" t="s">
        <v>222</v>
      </c>
      <c r="B77" s="62" t="str">
        <f>VLOOKUP(A77,'HECVAT - Full'!A$24:B$312,2,FALSE)</f>
        <v>Describe or provide a reference that details how administrator access is handled (e.g. provisioning, principle of least privilege, deprovisioning, etc.)</v>
      </c>
      <c r="C77" s="63" t="s">
        <v>877</v>
      </c>
      <c r="D77" s="129"/>
      <c r="E77" s="130">
        <v>9.2</v>
      </c>
      <c r="F77" s="63" t="s">
        <v>857</v>
      </c>
      <c r="G77" s="63" t="s">
        <v>878</v>
      </c>
      <c r="H77" s="126" t="s">
        <v>879</v>
      </c>
      <c r="I77" s="126" t="s">
        <v>880</v>
      </c>
      <c r="J77" s="7"/>
      <c r="K77" s="9"/>
      <c r="L77" s="9"/>
      <c r="M77" s="9"/>
      <c r="N77" s="9"/>
      <c r="O77" s="9"/>
      <c r="P77" s="9"/>
      <c r="Q77" s="9"/>
      <c r="R77" s="9"/>
      <c r="S77" s="9"/>
      <c r="T77" s="9"/>
      <c r="U77" s="9"/>
      <c r="V77" s="9"/>
      <c r="W77" s="9"/>
      <c r="X77" s="9"/>
      <c r="Y77" s="9"/>
      <c r="Z77" s="9"/>
      <c r="AA77" s="9"/>
      <c r="AB77" s="9"/>
      <c r="AC77" s="9"/>
    </row>
    <row r="78" ht="64.5" customHeight="1">
      <c r="A78" s="51" t="s">
        <v>226</v>
      </c>
      <c r="B78" s="62" t="str">
        <f>VLOOKUP(A78,'HECVAT - Full'!A$24:B$312,2,FALSE)</f>
        <v>Describe or provide references explaining how tertiary services are redundant (i.e. DNS, ISP, etc.).</v>
      </c>
      <c r="C78" s="63" t="s">
        <v>823</v>
      </c>
      <c r="D78" s="129"/>
      <c r="E78" s="126" t="s">
        <v>856</v>
      </c>
      <c r="F78" s="63" t="s">
        <v>881</v>
      </c>
      <c r="G78" s="63" t="s">
        <v>844</v>
      </c>
      <c r="H78" s="129"/>
      <c r="I78" s="129"/>
      <c r="J78" s="7"/>
      <c r="K78" s="9"/>
      <c r="L78" s="9"/>
      <c r="M78" s="9"/>
      <c r="N78" s="9"/>
      <c r="O78" s="9"/>
      <c r="P78" s="9"/>
      <c r="Q78" s="9"/>
      <c r="R78" s="9"/>
      <c r="S78" s="9"/>
      <c r="T78" s="9"/>
      <c r="U78" s="9"/>
      <c r="V78" s="9"/>
      <c r="W78" s="9"/>
      <c r="X78" s="9"/>
      <c r="Y78" s="9"/>
      <c r="Z78" s="9"/>
      <c r="AA78" s="9"/>
      <c r="AB78" s="9"/>
      <c r="AC78" s="9"/>
    </row>
    <row r="79" ht="36.0" customHeight="1">
      <c r="A79" s="45" t="str">
        <f>IF($C$30="","Authentication, Authorization, and Accounting",IF($C$30="Yes","AAA - Optional based on QUALIFIER response.","Authentication, Authorization, and Accounting"))</f>
        <v>Authentication, Authorization, and Accounting</v>
      </c>
      <c r="B79" s="14"/>
      <c r="C79" s="60" t="str">
        <f>$C$22</f>
        <v>CIS Critical Security Controls v6.1</v>
      </c>
      <c r="D79" s="60" t="str">
        <f>$D$22</f>
        <v>HIPAA</v>
      </c>
      <c r="E79" s="60" t="str">
        <f>$E$22</f>
        <v>ISO 27002:2013</v>
      </c>
      <c r="F79" s="60" t="str">
        <f>$F$22</f>
        <v>NIST Cybersecurity Framework</v>
      </c>
      <c r="G79" s="60" t="str">
        <f>$G$22</f>
        <v>NIST SP 800-171r1</v>
      </c>
      <c r="H79" s="60" t="str">
        <f>$H$22</f>
        <v>NIST SP 800-53r4</v>
      </c>
      <c r="I79" s="60" t="s">
        <v>808</v>
      </c>
      <c r="J79" s="7"/>
      <c r="K79" s="9"/>
      <c r="L79" s="9"/>
      <c r="M79" s="9"/>
      <c r="N79" s="9"/>
      <c r="O79" s="9"/>
      <c r="P79" s="9"/>
      <c r="Q79" s="9"/>
      <c r="R79" s="9"/>
      <c r="S79" s="9"/>
      <c r="T79" s="9"/>
      <c r="U79" s="9"/>
      <c r="V79" s="9"/>
      <c r="W79" s="9"/>
      <c r="X79" s="9"/>
      <c r="Y79" s="9"/>
      <c r="Z79" s="9"/>
      <c r="AA79" s="9"/>
      <c r="AB79" s="9"/>
      <c r="AC79" s="9"/>
    </row>
    <row r="80" ht="36.0" customHeight="1">
      <c r="A80" s="51" t="s">
        <v>230</v>
      </c>
      <c r="B80" s="62" t="str">
        <f>VLOOKUP(A80,'HECVAT - Full'!A$24:B$312,2,FALSE)</f>
        <v>Can you enforce password/passphrase aging requirements?</v>
      </c>
      <c r="C80" s="63" t="s">
        <v>882</v>
      </c>
      <c r="D80" s="128"/>
      <c r="E80" s="126" t="s">
        <v>883</v>
      </c>
      <c r="F80" s="63" t="s">
        <v>884</v>
      </c>
      <c r="G80" s="63" t="s">
        <v>885</v>
      </c>
      <c r="H80" s="126" t="s">
        <v>886</v>
      </c>
      <c r="I80" s="126" t="s">
        <v>887</v>
      </c>
      <c r="J80" s="7"/>
      <c r="K80" s="9"/>
      <c r="L80" s="9"/>
      <c r="M80" s="9"/>
      <c r="N80" s="9"/>
      <c r="O80" s="9"/>
      <c r="P80" s="9"/>
      <c r="Q80" s="9"/>
      <c r="R80" s="9"/>
      <c r="S80" s="9"/>
      <c r="T80" s="9"/>
      <c r="U80" s="9"/>
      <c r="V80" s="9"/>
      <c r="W80" s="9"/>
      <c r="X80" s="9"/>
      <c r="Y80" s="9"/>
      <c r="Z80" s="9"/>
      <c r="AA80" s="9"/>
      <c r="AB80" s="9"/>
      <c r="AC80" s="9"/>
    </row>
    <row r="81" ht="48.0" customHeight="1">
      <c r="A81" s="51" t="s">
        <v>233</v>
      </c>
      <c r="B81" s="62" t="str">
        <f>VLOOKUP(A81,'HECVAT - Full'!A$24:B$312,2,FALSE)</f>
        <v>Can you enforce password/passphrase complexity requirements [provided by the institution]?</v>
      </c>
      <c r="C81" s="63" t="s">
        <v>882</v>
      </c>
      <c r="D81" s="128"/>
      <c r="E81" s="126" t="s">
        <v>883</v>
      </c>
      <c r="F81" s="63" t="s">
        <v>884</v>
      </c>
      <c r="G81" s="63" t="s">
        <v>888</v>
      </c>
      <c r="H81" s="126" t="s">
        <v>889</v>
      </c>
      <c r="I81" s="126" t="s">
        <v>887</v>
      </c>
      <c r="J81" s="7"/>
      <c r="K81" s="9"/>
      <c r="L81" s="9"/>
      <c r="M81" s="9"/>
      <c r="N81" s="9"/>
      <c r="O81" s="9"/>
      <c r="P81" s="9"/>
      <c r="Q81" s="9"/>
      <c r="R81" s="9"/>
      <c r="S81" s="9"/>
      <c r="T81" s="9"/>
      <c r="U81" s="9"/>
      <c r="V81" s="9"/>
      <c r="W81" s="9"/>
      <c r="X81" s="9"/>
      <c r="Y81" s="9"/>
      <c r="Z81" s="9"/>
      <c r="AA81" s="9"/>
      <c r="AB81" s="9"/>
      <c r="AC81" s="9"/>
    </row>
    <row r="82" ht="48.0" customHeight="1">
      <c r="A82" s="51" t="s">
        <v>236</v>
      </c>
      <c r="B82" s="62" t="str">
        <f>VLOOKUP(A82,'HECVAT - Full'!A$24:B$312,2,FALSE)</f>
        <v>Does the system have password complexity or length limitations and/or restrictions?</v>
      </c>
      <c r="C82" s="63" t="s">
        <v>882</v>
      </c>
      <c r="D82" s="128"/>
      <c r="E82" s="126" t="s">
        <v>883</v>
      </c>
      <c r="F82" s="63" t="s">
        <v>884</v>
      </c>
      <c r="G82" s="129"/>
      <c r="H82" s="127"/>
      <c r="I82" s="126" t="s">
        <v>887</v>
      </c>
      <c r="J82" s="7"/>
      <c r="K82" s="9"/>
      <c r="L82" s="9"/>
      <c r="M82" s="9"/>
      <c r="N82" s="9"/>
      <c r="O82" s="9"/>
      <c r="P82" s="9"/>
      <c r="Q82" s="9"/>
      <c r="R82" s="9"/>
      <c r="S82" s="9"/>
      <c r="T82" s="9"/>
      <c r="U82" s="9"/>
      <c r="V82" s="9"/>
      <c r="W82" s="9"/>
      <c r="X82" s="9"/>
      <c r="Y82" s="9"/>
      <c r="Z82" s="9"/>
      <c r="AA82" s="9"/>
      <c r="AB82" s="9"/>
      <c r="AC82" s="9"/>
    </row>
    <row r="83" ht="64.5" customHeight="1">
      <c r="A83" s="51" t="s">
        <v>238</v>
      </c>
      <c r="B83" s="62" t="str">
        <f>VLOOKUP(A83,'HECVAT - Full'!A$24:B$312,2,FALSE)</f>
        <v>Do you have documented password/passphrase reset procedures that are currently implemented in the system and/or customer support?</v>
      </c>
      <c r="C83" s="63" t="s">
        <v>882</v>
      </c>
      <c r="D83" s="128"/>
      <c r="E83" s="126" t="s">
        <v>883</v>
      </c>
      <c r="F83" s="63" t="s">
        <v>884</v>
      </c>
      <c r="G83" s="63" t="s">
        <v>890</v>
      </c>
      <c r="H83" s="126" t="s">
        <v>886</v>
      </c>
      <c r="I83" s="126" t="s">
        <v>891</v>
      </c>
      <c r="J83" s="7"/>
      <c r="K83" s="9"/>
      <c r="L83" s="9"/>
      <c r="M83" s="9"/>
      <c r="N83" s="9"/>
      <c r="O83" s="9"/>
      <c r="P83" s="9"/>
      <c r="Q83" s="9"/>
      <c r="R83" s="9"/>
      <c r="S83" s="9"/>
      <c r="T83" s="9"/>
      <c r="U83" s="9"/>
      <c r="V83" s="9"/>
      <c r="W83" s="9"/>
      <c r="X83" s="9"/>
      <c r="Y83" s="9"/>
      <c r="Z83" s="9"/>
      <c r="AA83" s="9"/>
      <c r="AB83" s="9"/>
      <c r="AC83" s="9"/>
    </row>
    <row r="84" ht="64.5" customHeight="1">
      <c r="A84" s="51" t="s">
        <v>241</v>
      </c>
      <c r="B84" s="62" t="str">
        <f>VLOOKUP(A84,'HECVAT - Full'!A$24:B$312,2,FALSE)</f>
        <v>Does your web-based interface support authentication, including standards-based single-sign-on? (e.g. InCommon)</v>
      </c>
      <c r="C84" s="63" t="s">
        <v>882</v>
      </c>
      <c r="D84" s="128"/>
      <c r="E84" s="126" t="s">
        <v>892</v>
      </c>
      <c r="F84" s="63" t="s">
        <v>884</v>
      </c>
      <c r="G84" s="63" t="s">
        <v>893</v>
      </c>
      <c r="H84" s="126" t="s">
        <v>894</v>
      </c>
      <c r="I84" s="126" t="s">
        <v>887</v>
      </c>
      <c r="J84" s="7"/>
      <c r="K84" s="9"/>
      <c r="L84" s="9"/>
      <c r="M84" s="9"/>
      <c r="N84" s="9"/>
      <c r="O84" s="9"/>
      <c r="P84" s="9"/>
      <c r="Q84" s="9"/>
      <c r="R84" s="9"/>
      <c r="S84" s="9"/>
      <c r="T84" s="9"/>
      <c r="U84" s="9"/>
      <c r="V84" s="9"/>
      <c r="W84" s="9"/>
      <c r="X84" s="9"/>
      <c r="Y84" s="9"/>
      <c r="Z84" s="9"/>
      <c r="AA84" s="9"/>
      <c r="AB84" s="9"/>
      <c r="AC84" s="9"/>
    </row>
    <row r="85" ht="48.0" customHeight="1">
      <c r="A85" s="51" t="s">
        <v>244</v>
      </c>
      <c r="B85" s="62" t="str">
        <f>VLOOKUP(A85,'HECVAT - Full'!A$24:B$312,2,FALSE)</f>
        <v>Are there any passwords/passphrases hard coded into your systems or products?</v>
      </c>
      <c r="C85" s="63" t="s">
        <v>882</v>
      </c>
      <c r="D85" s="128"/>
      <c r="E85" s="126" t="s">
        <v>845</v>
      </c>
      <c r="F85" s="128"/>
      <c r="G85" s="129"/>
      <c r="H85" s="127"/>
      <c r="I85" s="126" t="s">
        <v>891</v>
      </c>
      <c r="J85" s="7"/>
      <c r="K85" s="9"/>
      <c r="L85" s="9"/>
      <c r="M85" s="9"/>
      <c r="N85" s="9"/>
      <c r="O85" s="9"/>
      <c r="P85" s="9"/>
      <c r="Q85" s="9"/>
      <c r="R85" s="9"/>
      <c r="S85" s="9"/>
      <c r="T85" s="9"/>
      <c r="U85" s="9"/>
      <c r="V85" s="9"/>
      <c r="W85" s="9"/>
      <c r="X85" s="9"/>
      <c r="Y85" s="9"/>
      <c r="Z85" s="9"/>
      <c r="AA85" s="9"/>
      <c r="AB85" s="9"/>
      <c r="AC85" s="9"/>
    </row>
    <row r="86" ht="36.0" customHeight="1">
      <c r="A86" s="51" t="s">
        <v>246</v>
      </c>
      <c r="B86" s="62" t="str">
        <f>VLOOKUP(A86,'HECVAT - Full'!A$24:B$312,2,FALSE)</f>
        <v>Are user account passwords/passphrases visible in administration modules?</v>
      </c>
      <c r="C86" s="63" t="s">
        <v>882</v>
      </c>
      <c r="D86" s="128"/>
      <c r="E86" s="126" t="s">
        <v>845</v>
      </c>
      <c r="F86" s="63" t="s">
        <v>884</v>
      </c>
      <c r="G86" s="129"/>
      <c r="H86" s="127"/>
      <c r="I86" s="126" t="s">
        <v>887</v>
      </c>
      <c r="J86" s="7"/>
      <c r="K86" s="9"/>
      <c r="L86" s="9"/>
      <c r="M86" s="9"/>
      <c r="N86" s="9"/>
      <c r="O86" s="9"/>
      <c r="P86" s="9"/>
      <c r="Q86" s="9"/>
      <c r="R86" s="9"/>
      <c r="S86" s="9"/>
      <c r="T86" s="9"/>
      <c r="U86" s="9"/>
      <c r="V86" s="9"/>
      <c r="W86" s="9"/>
      <c r="X86" s="9"/>
      <c r="Y86" s="9"/>
      <c r="Z86" s="9"/>
      <c r="AA86" s="9"/>
      <c r="AB86" s="9"/>
      <c r="AC86" s="9"/>
    </row>
    <row r="87" ht="36.0" customHeight="1">
      <c r="A87" s="51" t="s">
        <v>248</v>
      </c>
      <c r="B87" s="62" t="str">
        <f>VLOOKUP(A87,'HECVAT - Full'!A$24:B$312,2,FALSE)</f>
        <v>Are user account passwords/passphrases stored encrypted?</v>
      </c>
      <c r="C87" s="63" t="s">
        <v>882</v>
      </c>
      <c r="D87" s="128"/>
      <c r="E87" s="126" t="s">
        <v>845</v>
      </c>
      <c r="F87" s="63" t="s">
        <v>884</v>
      </c>
      <c r="G87" s="63" t="s">
        <v>895</v>
      </c>
      <c r="H87" s="126" t="s">
        <v>889</v>
      </c>
      <c r="I87" s="126" t="s">
        <v>887</v>
      </c>
      <c r="J87" s="7"/>
      <c r="K87" s="9"/>
      <c r="L87" s="9"/>
      <c r="M87" s="9"/>
      <c r="N87" s="9"/>
      <c r="O87" s="9"/>
      <c r="P87" s="9"/>
      <c r="Q87" s="9"/>
      <c r="R87" s="9"/>
      <c r="S87" s="9"/>
      <c r="T87" s="9"/>
      <c r="U87" s="9"/>
      <c r="V87" s="9"/>
      <c r="W87" s="9"/>
      <c r="X87" s="9"/>
      <c r="Y87" s="9"/>
      <c r="Z87" s="9"/>
      <c r="AA87" s="9"/>
      <c r="AB87" s="9"/>
      <c r="AC87" s="9"/>
    </row>
    <row r="88" ht="46.5" customHeight="1">
      <c r="A88" s="51" t="s">
        <v>251</v>
      </c>
      <c r="B88" s="62" t="str">
        <f>VLOOKUP(A88,'HECVAT - Full'!A$24:B$312,2,FALSE)</f>
        <v>Does your application and/or user-frontend/portal support multi-factor authentication? (e.g. Duo, Google Authenticator, OTP, etc.)</v>
      </c>
      <c r="C88" s="63" t="s">
        <v>882</v>
      </c>
      <c r="D88" s="128"/>
      <c r="E88" s="126" t="s">
        <v>845</v>
      </c>
      <c r="F88" s="63" t="s">
        <v>881</v>
      </c>
      <c r="G88" s="63" t="s">
        <v>896</v>
      </c>
      <c r="H88" s="126" t="s">
        <v>897</v>
      </c>
      <c r="I88" s="126" t="s">
        <v>887</v>
      </c>
      <c r="J88" s="7"/>
      <c r="K88" s="9"/>
      <c r="L88" s="9"/>
      <c r="M88" s="9"/>
      <c r="N88" s="9"/>
      <c r="O88" s="9"/>
      <c r="P88" s="9"/>
      <c r="Q88" s="9"/>
      <c r="R88" s="9"/>
      <c r="S88" s="9"/>
      <c r="T88" s="9"/>
      <c r="U88" s="9"/>
      <c r="V88" s="9"/>
      <c r="W88" s="9"/>
      <c r="X88" s="9"/>
      <c r="Y88" s="9"/>
      <c r="Z88" s="9"/>
      <c r="AA88" s="9"/>
      <c r="AB88" s="9"/>
      <c r="AC88" s="9"/>
    </row>
    <row r="89" ht="52.5" customHeight="1">
      <c r="A89" s="51" t="s">
        <v>254</v>
      </c>
      <c r="B89" s="62" t="str">
        <f>VLOOKUP(A89,'HECVAT - Full'!A$24:B$312,2,FALSE)</f>
        <v>Does your application support integration with other authentication and authorization systems?  List which ones (such as Active Directory, Kerberos and what version) in Additional Info?</v>
      </c>
      <c r="C89" s="63" t="s">
        <v>882</v>
      </c>
      <c r="D89" s="128"/>
      <c r="E89" s="126" t="s">
        <v>898</v>
      </c>
      <c r="F89" s="63" t="s">
        <v>899</v>
      </c>
      <c r="G89" s="129"/>
      <c r="H89" s="127"/>
      <c r="I89" s="127"/>
      <c r="J89" s="7"/>
      <c r="K89" s="9"/>
      <c r="L89" s="9"/>
      <c r="M89" s="9"/>
      <c r="N89" s="9"/>
      <c r="O89" s="9"/>
      <c r="P89" s="9"/>
      <c r="Q89" s="9"/>
      <c r="R89" s="9"/>
      <c r="S89" s="9"/>
      <c r="T89" s="9"/>
      <c r="U89" s="9"/>
      <c r="V89" s="9"/>
      <c r="W89" s="9"/>
      <c r="X89" s="9"/>
      <c r="Y89" s="9"/>
      <c r="Z89" s="9"/>
      <c r="AA89" s="9"/>
      <c r="AB89" s="9"/>
      <c r="AC89" s="9"/>
    </row>
    <row r="90" ht="46.5" customHeight="1">
      <c r="A90" s="51" t="s">
        <v>257</v>
      </c>
      <c r="B90" s="62" t="str">
        <f>VLOOKUP(A90,'HECVAT - Full'!A$24:B$312,2,FALSE)</f>
        <v>Will any external authentication or authorization system be utilized by an application with access to the institution's data?</v>
      </c>
      <c r="C90" s="63" t="s">
        <v>882</v>
      </c>
      <c r="D90" s="128"/>
      <c r="E90" s="126" t="s">
        <v>845</v>
      </c>
      <c r="F90" s="63" t="s">
        <v>899</v>
      </c>
      <c r="G90" s="129"/>
      <c r="H90" s="127"/>
      <c r="I90" s="126" t="s">
        <v>887</v>
      </c>
      <c r="J90" s="7"/>
      <c r="K90" s="9"/>
      <c r="L90" s="9"/>
      <c r="M90" s="9"/>
      <c r="N90" s="9"/>
      <c r="O90" s="9"/>
      <c r="P90" s="9"/>
      <c r="Q90" s="9"/>
      <c r="R90" s="9"/>
      <c r="S90" s="9"/>
      <c r="T90" s="9"/>
      <c r="U90" s="9"/>
      <c r="V90" s="9"/>
      <c r="W90" s="9"/>
      <c r="X90" s="9"/>
      <c r="Y90" s="9"/>
      <c r="Z90" s="9"/>
      <c r="AA90" s="9"/>
      <c r="AB90" s="9"/>
      <c r="AC90" s="9"/>
    </row>
    <row r="91" ht="54.0" customHeight="1">
      <c r="A91" s="51" t="s">
        <v>260</v>
      </c>
      <c r="B91" s="62" t="str">
        <f>VLOOKUP(A91,'HECVAT - Full'!A$24:B$312,2,FALSE)</f>
        <v>Does the system (servers/infrastructure) support external authentication services (e.g. Active Directory, LDAP) in place of local authentication?</v>
      </c>
      <c r="C91" s="63" t="s">
        <v>882</v>
      </c>
      <c r="D91" s="128"/>
      <c r="E91" s="126" t="s">
        <v>898</v>
      </c>
      <c r="F91" s="63" t="s">
        <v>899</v>
      </c>
      <c r="G91" s="129"/>
      <c r="H91" s="127"/>
      <c r="I91" s="127"/>
      <c r="J91" s="7"/>
      <c r="K91" s="9"/>
      <c r="L91" s="9"/>
      <c r="M91" s="9"/>
      <c r="N91" s="9"/>
      <c r="O91" s="9"/>
      <c r="P91" s="9"/>
      <c r="Q91" s="9"/>
      <c r="R91" s="9"/>
      <c r="S91" s="9"/>
      <c r="T91" s="9"/>
      <c r="U91" s="9"/>
      <c r="V91" s="9"/>
      <c r="W91" s="9"/>
      <c r="X91" s="9"/>
      <c r="Y91" s="9"/>
      <c r="Z91" s="9"/>
      <c r="AA91" s="9"/>
      <c r="AB91" s="9"/>
      <c r="AC91" s="9"/>
    </row>
    <row r="92" ht="54.0" customHeight="1">
      <c r="A92" s="51" t="s">
        <v>262</v>
      </c>
      <c r="B92" s="62" t="str">
        <f>VLOOKUP(A92,'HECVAT - Full'!A$24:B$312,2,FALSE)</f>
        <v>Does the system operate in a mixed authentication mode (i.e. external and local authentication)?</v>
      </c>
      <c r="C92" s="63" t="s">
        <v>882</v>
      </c>
      <c r="D92" s="128"/>
      <c r="E92" s="127"/>
      <c r="F92" s="63" t="s">
        <v>899</v>
      </c>
      <c r="G92" s="129"/>
      <c r="H92" s="127"/>
      <c r="I92" s="127"/>
      <c r="J92" s="7"/>
      <c r="K92" s="9"/>
      <c r="L92" s="9"/>
      <c r="M92" s="9"/>
      <c r="N92" s="9"/>
      <c r="O92" s="9"/>
      <c r="P92" s="9"/>
      <c r="Q92" s="9"/>
      <c r="R92" s="9"/>
      <c r="S92" s="9"/>
      <c r="T92" s="9"/>
      <c r="U92" s="9"/>
      <c r="V92" s="9"/>
      <c r="W92" s="9"/>
      <c r="X92" s="9"/>
      <c r="Y92" s="9"/>
      <c r="Z92" s="9"/>
      <c r="AA92" s="9"/>
      <c r="AB92" s="9"/>
      <c r="AC92" s="9"/>
    </row>
    <row r="93" ht="46.5" customHeight="1">
      <c r="A93" s="51" t="s">
        <v>265</v>
      </c>
      <c r="B93" s="62" t="str">
        <f>VLOOKUP(A93,'HECVAT - Full'!A$24:B$312,2,FALSE)</f>
        <v>Will any external authentication or authorization system be utilized by a system with access to institution data?</v>
      </c>
      <c r="C93" s="63" t="s">
        <v>882</v>
      </c>
      <c r="D93" s="128"/>
      <c r="E93" s="127"/>
      <c r="F93" s="63" t="s">
        <v>899</v>
      </c>
      <c r="G93" s="63" t="s">
        <v>900</v>
      </c>
      <c r="H93" s="127"/>
      <c r="I93" s="126" t="s">
        <v>887</v>
      </c>
      <c r="J93" s="7"/>
      <c r="K93" s="9"/>
      <c r="L93" s="9"/>
      <c r="M93" s="9"/>
      <c r="N93" s="9"/>
      <c r="O93" s="9"/>
      <c r="P93" s="9"/>
      <c r="Q93" s="9"/>
      <c r="R93" s="9"/>
      <c r="S93" s="9"/>
      <c r="T93" s="9"/>
      <c r="U93" s="9"/>
      <c r="V93" s="9"/>
      <c r="W93" s="9"/>
      <c r="X93" s="9"/>
      <c r="Y93" s="9"/>
      <c r="Z93" s="9"/>
      <c r="AA93" s="9"/>
      <c r="AB93" s="9"/>
      <c r="AC93" s="9"/>
    </row>
    <row r="94" ht="48.0" customHeight="1">
      <c r="A94" s="51" t="s">
        <v>267</v>
      </c>
      <c r="B94" s="62" t="str">
        <f>VLOOKUP(A94,'HECVAT - Full'!A$24:B$312,2,FALSE)</f>
        <v>Are audit logs available that include AT LEAST all of the following; login, logout, actions performed, and source IP address?</v>
      </c>
      <c r="C94" s="63" t="s">
        <v>901</v>
      </c>
      <c r="D94" s="128"/>
      <c r="E94" s="126" t="s">
        <v>902</v>
      </c>
      <c r="F94" s="63" t="s">
        <v>903</v>
      </c>
      <c r="G94" s="63" t="s">
        <v>904</v>
      </c>
      <c r="H94" s="126" t="s">
        <v>905</v>
      </c>
      <c r="I94" s="126" t="s">
        <v>906</v>
      </c>
      <c r="J94" s="7"/>
      <c r="K94" s="9"/>
      <c r="L94" s="9"/>
      <c r="M94" s="9"/>
      <c r="N94" s="9"/>
      <c r="O94" s="9"/>
      <c r="P94" s="9"/>
      <c r="Q94" s="9"/>
      <c r="R94" s="9"/>
      <c r="S94" s="9"/>
      <c r="T94" s="9"/>
      <c r="U94" s="9"/>
      <c r="V94" s="9"/>
      <c r="W94" s="9"/>
      <c r="X94" s="9"/>
      <c r="Y94" s="9"/>
      <c r="Z94" s="9"/>
      <c r="AA94" s="9"/>
      <c r="AB94" s="9"/>
      <c r="AC94" s="9"/>
    </row>
    <row r="95" ht="84.0" customHeight="1">
      <c r="A95" s="51" t="s">
        <v>270</v>
      </c>
      <c r="B95" s="62" t="str">
        <f>VLOOKUP(A95,'HECVAT - Full'!A$24:B$312,2,FALSE)</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C95" s="63" t="s">
        <v>901</v>
      </c>
      <c r="D95" s="128"/>
      <c r="E95" s="126" t="s">
        <v>902</v>
      </c>
      <c r="F95" s="63" t="s">
        <v>903</v>
      </c>
      <c r="G95" s="63" t="s">
        <v>907</v>
      </c>
      <c r="H95" s="126" t="s">
        <v>908</v>
      </c>
      <c r="I95" s="126" t="s">
        <v>909</v>
      </c>
      <c r="J95" s="7"/>
      <c r="K95" s="9"/>
      <c r="L95" s="9"/>
      <c r="M95" s="9"/>
      <c r="N95" s="9"/>
      <c r="O95" s="9"/>
      <c r="P95" s="9"/>
      <c r="Q95" s="9"/>
      <c r="R95" s="9"/>
      <c r="S95" s="9"/>
      <c r="T95" s="9"/>
      <c r="U95" s="9"/>
      <c r="V95" s="9"/>
      <c r="W95" s="9"/>
      <c r="X95" s="9"/>
      <c r="Y95" s="9"/>
      <c r="Z95" s="9"/>
      <c r="AA95" s="9"/>
      <c r="AB95" s="9"/>
      <c r="AC95" s="9"/>
    </row>
    <row r="96" ht="63.75" customHeight="1">
      <c r="A96" s="51" t="s">
        <v>274</v>
      </c>
      <c r="B96" s="62" t="str">
        <f>VLOOKUP(A96,'HECVAT - Full'!A$24:B$312,2,FALSE)</f>
        <v>Describe or provide a reference to the retention period for those logs, how logs are protected, and whether they are accessible to the customer (and if so, how).</v>
      </c>
      <c r="C96" s="63" t="s">
        <v>901</v>
      </c>
      <c r="D96" s="128"/>
      <c r="E96" s="126" t="s">
        <v>902</v>
      </c>
      <c r="F96" s="63" t="s">
        <v>903</v>
      </c>
      <c r="G96" s="63" t="s">
        <v>910</v>
      </c>
      <c r="H96" s="126" t="s">
        <v>911</v>
      </c>
      <c r="I96" s="130">
        <v>10.7</v>
      </c>
      <c r="J96" s="7"/>
      <c r="K96" s="9"/>
      <c r="L96" s="9"/>
      <c r="M96" s="9"/>
      <c r="N96" s="9"/>
      <c r="O96" s="9"/>
      <c r="P96" s="9"/>
      <c r="Q96" s="9"/>
      <c r="R96" s="9"/>
      <c r="S96" s="9"/>
      <c r="T96" s="9"/>
      <c r="U96" s="9"/>
      <c r="V96" s="9"/>
      <c r="W96" s="9"/>
      <c r="X96" s="9"/>
      <c r="Y96" s="9"/>
      <c r="Z96" s="9"/>
      <c r="AA96" s="9"/>
      <c r="AB96" s="9"/>
      <c r="AC96" s="9"/>
    </row>
    <row r="97" ht="36.0" customHeight="1">
      <c r="A97" s="45" t="str">
        <f>IF(OR($C$27="No",$C$30="Yes"),"BCP - Optional based on QUALIFIER response.","Business Continuity Plan")</f>
        <v>Business Continuity Plan</v>
      </c>
      <c r="B97" s="14"/>
      <c r="C97" s="60" t="str">
        <f>$C$22</f>
        <v>CIS Critical Security Controls v6.1</v>
      </c>
      <c r="D97" s="60" t="str">
        <f>$D$22</f>
        <v>HIPAA</v>
      </c>
      <c r="E97" s="60" t="str">
        <f>$E$22</f>
        <v>ISO 27002:2013</v>
      </c>
      <c r="F97" s="60" t="str">
        <f>$F$22</f>
        <v>NIST Cybersecurity Framework</v>
      </c>
      <c r="G97" s="60" t="str">
        <f>$G$22</f>
        <v>NIST SP 800-171r1</v>
      </c>
      <c r="H97" s="60" t="str">
        <f>$H$22</f>
        <v>NIST SP 800-53r4</v>
      </c>
      <c r="I97" s="60" t="s">
        <v>808</v>
      </c>
      <c r="J97" s="119"/>
      <c r="K97" s="120"/>
      <c r="L97" s="120"/>
      <c r="M97" s="120"/>
      <c r="N97" s="120"/>
      <c r="O97" s="120"/>
      <c r="P97" s="120"/>
      <c r="Q97" s="120"/>
      <c r="R97" s="120"/>
      <c r="S97" s="120"/>
      <c r="T97" s="120"/>
      <c r="U97" s="120"/>
      <c r="V97" s="120"/>
      <c r="W97" s="120"/>
      <c r="X97" s="120"/>
      <c r="Y97" s="120"/>
      <c r="Z97" s="120"/>
      <c r="AA97" s="120"/>
      <c r="AB97" s="120"/>
      <c r="AC97" s="120"/>
    </row>
    <row r="98" ht="48.0" customHeight="1">
      <c r="A98" s="51" t="s">
        <v>278</v>
      </c>
      <c r="B98" s="62" t="str">
        <f>VLOOKUP(A98,'HECVAT - Full'!A$24:B$312,2,FALSE)</f>
        <v>Describe or provide a reference to your Business Continuity Plan (BCP).</v>
      </c>
      <c r="C98" s="63" t="s">
        <v>817</v>
      </c>
      <c r="D98" s="128"/>
      <c r="E98" s="126" t="s">
        <v>912</v>
      </c>
      <c r="F98" s="63" t="s">
        <v>819</v>
      </c>
      <c r="G98" s="63" t="s">
        <v>913</v>
      </c>
      <c r="H98" s="126" t="s">
        <v>914</v>
      </c>
      <c r="I98" s="132"/>
      <c r="J98" s="7"/>
      <c r="K98" s="9"/>
      <c r="L98" s="9"/>
      <c r="M98" s="9"/>
      <c r="N98" s="9"/>
      <c r="O98" s="9"/>
      <c r="P98" s="9"/>
      <c r="Q98" s="9"/>
      <c r="R98" s="9"/>
      <c r="S98" s="9"/>
      <c r="T98" s="9"/>
      <c r="U98" s="9"/>
      <c r="V98" s="9"/>
      <c r="W98" s="9"/>
      <c r="X98" s="9"/>
      <c r="Y98" s="9"/>
      <c r="Z98" s="9"/>
      <c r="AA98" s="9"/>
      <c r="AB98" s="9"/>
      <c r="AC98" s="9"/>
    </row>
    <row r="99" ht="46.5" customHeight="1">
      <c r="A99" s="51" t="s">
        <v>282</v>
      </c>
      <c r="B99" s="62" t="str">
        <f>VLOOKUP(A99,'HECVAT - Full'!A$24:B$312,2,FALSE)</f>
        <v>May the Institution review your BCP and supporting documentation?</v>
      </c>
      <c r="C99" s="63" t="s">
        <v>817</v>
      </c>
      <c r="D99" s="128"/>
      <c r="E99" s="127"/>
      <c r="F99" s="63" t="s">
        <v>819</v>
      </c>
      <c r="G99" s="63" t="s">
        <v>913</v>
      </c>
      <c r="H99" s="126" t="s">
        <v>915</v>
      </c>
      <c r="I99" s="132"/>
      <c r="J99" s="7"/>
      <c r="K99" s="9"/>
      <c r="L99" s="9"/>
      <c r="M99" s="9"/>
      <c r="N99" s="9"/>
      <c r="O99" s="9"/>
      <c r="P99" s="9"/>
      <c r="Q99" s="9"/>
      <c r="R99" s="9"/>
      <c r="S99" s="9"/>
      <c r="T99" s="9"/>
      <c r="U99" s="9"/>
      <c r="V99" s="9"/>
      <c r="W99" s="9"/>
      <c r="X99" s="9"/>
      <c r="Y99" s="9"/>
      <c r="Z99" s="9"/>
      <c r="AA99" s="9"/>
      <c r="AB99" s="9"/>
      <c r="AC99" s="9"/>
    </row>
    <row r="100" ht="46.5" customHeight="1">
      <c r="A100" s="51" t="s">
        <v>285</v>
      </c>
      <c r="B100" s="62" t="str">
        <f>VLOOKUP(A100,'HECVAT - Full'!A$24:B$312,2,FALSE)</f>
        <v>Is an owner assigned who is responsible for the maintenance and review of the Business Continuity Plan?</v>
      </c>
      <c r="C100" s="63" t="s">
        <v>817</v>
      </c>
      <c r="D100" s="128"/>
      <c r="E100" s="126" t="s">
        <v>912</v>
      </c>
      <c r="F100" s="63" t="s">
        <v>819</v>
      </c>
      <c r="G100" s="63" t="s">
        <v>913</v>
      </c>
      <c r="H100" s="126" t="s">
        <v>914</v>
      </c>
      <c r="I100" s="132"/>
      <c r="J100" s="7"/>
      <c r="K100" s="9"/>
      <c r="L100" s="9"/>
      <c r="M100" s="9"/>
      <c r="N100" s="9"/>
      <c r="O100" s="9"/>
      <c r="P100" s="9"/>
      <c r="Q100" s="9"/>
      <c r="R100" s="9"/>
      <c r="S100" s="9"/>
      <c r="T100" s="9"/>
      <c r="U100" s="9"/>
      <c r="V100" s="9"/>
      <c r="W100" s="9"/>
      <c r="X100" s="9"/>
      <c r="Y100" s="9"/>
      <c r="Z100" s="9"/>
      <c r="AA100" s="9"/>
      <c r="AB100" s="9"/>
      <c r="AC100" s="9"/>
    </row>
    <row r="101" ht="46.5" customHeight="1">
      <c r="A101" s="51" t="s">
        <v>287</v>
      </c>
      <c r="B101" s="62" t="str">
        <f>VLOOKUP(A101,'HECVAT - Full'!A$24:B$312,2,FALSE)</f>
        <v>Is there a defined problem/issue escalation plan in your BCP for impacted clients?</v>
      </c>
      <c r="C101" s="63" t="s">
        <v>817</v>
      </c>
      <c r="D101" s="128"/>
      <c r="E101" s="126" t="s">
        <v>916</v>
      </c>
      <c r="F101" s="63" t="s">
        <v>819</v>
      </c>
      <c r="G101" s="63" t="s">
        <v>913</v>
      </c>
      <c r="H101" s="126" t="s">
        <v>914</v>
      </c>
      <c r="I101" s="132"/>
      <c r="J101" s="7"/>
      <c r="K101" s="9"/>
      <c r="L101" s="9"/>
      <c r="M101" s="9"/>
      <c r="N101" s="9"/>
      <c r="O101" s="9"/>
      <c r="P101" s="9"/>
      <c r="Q101" s="9"/>
      <c r="R101" s="9"/>
      <c r="S101" s="9"/>
      <c r="T101" s="9"/>
      <c r="U101" s="9"/>
      <c r="V101" s="9"/>
      <c r="W101" s="9"/>
      <c r="X101" s="9"/>
      <c r="Y101" s="9"/>
      <c r="Z101" s="9"/>
      <c r="AA101" s="9"/>
      <c r="AB101" s="9"/>
      <c r="AC101" s="9"/>
    </row>
    <row r="102" ht="46.5" customHeight="1">
      <c r="A102" s="51" t="s">
        <v>289</v>
      </c>
      <c r="B102" s="62" t="str">
        <f>VLOOKUP(A102,'HECVAT - Full'!A$24:B$312,2,FALSE)</f>
        <v>Is there a documented communication plan in your BCP for impacted clients?</v>
      </c>
      <c r="C102" s="63" t="s">
        <v>817</v>
      </c>
      <c r="D102" s="128"/>
      <c r="E102" s="126" t="s">
        <v>818</v>
      </c>
      <c r="F102" s="63" t="s">
        <v>819</v>
      </c>
      <c r="G102" s="63" t="s">
        <v>913</v>
      </c>
      <c r="H102" s="126" t="s">
        <v>914</v>
      </c>
      <c r="I102" s="132"/>
      <c r="J102" s="7"/>
      <c r="K102" s="9"/>
      <c r="L102" s="9"/>
      <c r="M102" s="9"/>
      <c r="N102" s="9"/>
      <c r="O102" s="9"/>
      <c r="P102" s="9"/>
      <c r="Q102" s="9"/>
      <c r="R102" s="9"/>
      <c r="S102" s="9"/>
      <c r="T102" s="9"/>
      <c r="U102" s="9"/>
      <c r="V102" s="9"/>
      <c r="W102" s="9"/>
      <c r="X102" s="9"/>
      <c r="Y102" s="9"/>
      <c r="Z102" s="9"/>
      <c r="AA102" s="9"/>
      <c r="AB102" s="9"/>
      <c r="AC102" s="9"/>
    </row>
    <row r="103" ht="48.0" customHeight="1">
      <c r="A103" s="51" t="s">
        <v>292</v>
      </c>
      <c r="B103" s="62" t="str">
        <f>VLOOKUP(A103,'HECVAT - Full'!A$24:B$312,2,FALSE)</f>
        <v>Are all components of the BCP reviewed at least annually and updated as needed to reflect change? </v>
      </c>
      <c r="C103" s="63" t="s">
        <v>817</v>
      </c>
      <c r="D103" s="128"/>
      <c r="E103" s="126" t="s">
        <v>818</v>
      </c>
      <c r="F103" s="63" t="s">
        <v>819</v>
      </c>
      <c r="G103" s="63" t="s">
        <v>913</v>
      </c>
      <c r="H103" s="126" t="s">
        <v>914</v>
      </c>
      <c r="I103" s="132"/>
      <c r="J103" s="7"/>
      <c r="K103" s="9"/>
      <c r="L103" s="9"/>
      <c r="M103" s="9"/>
      <c r="N103" s="9"/>
      <c r="O103" s="9"/>
      <c r="P103" s="9"/>
      <c r="Q103" s="9"/>
      <c r="R103" s="9"/>
      <c r="S103" s="9"/>
      <c r="T103" s="9"/>
      <c r="U103" s="9"/>
      <c r="V103" s="9"/>
      <c r="W103" s="9"/>
      <c r="X103" s="9"/>
      <c r="Y103" s="9"/>
      <c r="Z103" s="9"/>
      <c r="AA103" s="9"/>
      <c r="AB103" s="9"/>
      <c r="AC103" s="9"/>
    </row>
    <row r="104" ht="48.0" customHeight="1">
      <c r="A104" s="51" t="s">
        <v>294</v>
      </c>
      <c r="B104" s="62" t="str">
        <f>VLOOKUP(A104,'HECVAT - Full'!A$24:B$312,2,FALSE)</f>
        <v>Has your BCP been tested in the last year? </v>
      </c>
      <c r="C104" s="63" t="s">
        <v>817</v>
      </c>
      <c r="D104" s="128"/>
      <c r="E104" s="126" t="s">
        <v>917</v>
      </c>
      <c r="F104" s="63" t="s">
        <v>819</v>
      </c>
      <c r="G104" s="63" t="s">
        <v>913</v>
      </c>
      <c r="H104" s="126" t="s">
        <v>914</v>
      </c>
      <c r="I104" s="132"/>
      <c r="J104" s="7"/>
      <c r="K104" s="9"/>
      <c r="L104" s="9"/>
      <c r="M104" s="9"/>
      <c r="N104" s="9"/>
      <c r="O104" s="9"/>
      <c r="P104" s="9"/>
      <c r="Q104" s="9"/>
      <c r="R104" s="9"/>
      <c r="S104" s="9"/>
      <c r="T104" s="9"/>
      <c r="U104" s="9"/>
      <c r="V104" s="9"/>
      <c r="W104" s="9"/>
      <c r="X104" s="9"/>
      <c r="Y104" s="9"/>
      <c r="Z104" s="9"/>
      <c r="AA104" s="9"/>
      <c r="AB104" s="9"/>
      <c r="AC104" s="9"/>
    </row>
    <row r="105" ht="46.5" customHeight="1">
      <c r="A105" s="51" t="s">
        <v>296</v>
      </c>
      <c r="B105" s="62" t="str">
        <f>VLOOKUP(A105,'HECVAT - Full'!A$24:B$312,2,FALSE)</f>
        <v>Does your organization conduct training and awareness activities to validate its employees understanding of their roles and responsibilities during a crisis?</v>
      </c>
      <c r="C105" s="63" t="s">
        <v>817</v>
      </c>
      <c r="D105" s="128"/>
      <c r="E105" s="126" t="s">
        <v>918</v>
      </c>
      <c r="F105" s="63" t="s">
        <v>819</v>
      </c>
      <c r="G105" s="63" t="s">
        <v>919</v>
      </c>
      <c r="H105" s="126" t="s">
        <v>920</v>
      </c>
      <c r="I105" s="126" t="s">
        <v>876</v>
      </c>
      <c r="J105" s="7"/>
      <c r="K105" s="9"/>
      <c r="L105" s="9"/>
      <c r="M105" s="9"/>
      <c r="N105" s="9"/>
      <c r="O105" s="9"/>
      <c r="P105" s="9"/>
      <c r="Q105" s="9"/>
      <c r="R105" s="9"/>
      <c r="S105" s="9"/>
      <c r="T105" s="9"/>
      <c r="U105" s="9"/>
      <c r="V105" s="9"/>
      <c r="W105" s="9"/>
      <c r="X105" s="9"/>
      <c r="Y105" s="9"/>
      <c r="Z105" s="9"/>
      <c r="AA105" s="9"/>
      <c r="AB105" s="9"/>
      <c r="AC105" s="9"/>
    </row>
    <row r="106" ht="46.5" customHeight="1">
      <c r="A106" s="51" t="s">
        <v>298</v>
      </c>
      <c r="B106" s="62" t="str">
        <f>VLOOKUP(A106,'HECVAT - Full'!A$24:B$312,2,FALSE)</f>
        <v>Are specific crisis management roles and responsibilities defined and documented?</v>
      </c>
      <c r="C106" s="63" t="s">
        <v>817</v>
      </c>
      <c r="D106" s="128"/>
      <c r="E106" s="126" t="s">
        <v>921</v>
      </c>
      <c r="F106" s="63" t="s">
        <v>819</v>
      </c>
      <c r="G106" s="129"/>
      <c r="H106" s="126" t="s">
        <v>915</v>
      </c>
      <c r="I106" s="126" t="s">
        <v>876</v>
      </c>
      <c r="J106" s="7"/>
      <c r="K106" s="9"/>
      <c r="L106" s="9"/>
      <c r="M106" s="9"/>
      <c r="N106" s="9"/>
      <c r="O106" s="9"/>
      <c r="P106" s="9"/>
      <c r="Q106" s="9"/>
      <c r="R106" s="9"/>
      <c r="S106" s="9"/>
      <c r="T106" s="9"/>
      <c r="U106" s="9"/>
      <c r="V106" s="9"/>
      <c r="W106" s="9"/>
      <c r="X106" s="9"/>
      <c r="Y106" s="9"/>
      <c r="Z106" s="9"/>
      <c r="AA106" s="9"/>
      <c r="AB106" s="9"/>
      <c r="AC106" s="9"/>
    </row>
    <row r="107" ht="46.5" customHeight="1">
      <c r="A107" s="51" t="s">
        <v>300</v>
      </c>
      <c r="B107" s="62" t="str">
        <f>VLOOKUP(A107,'HECVAT - Full'!A$24:B$312,2,FALSE)</f>
        <v>Does your organization have an alternative business site or a contracted Business Recovery provider?</v>
      </c>
      <c r="C107" s="63" t="s">
        <v>817</v>
      </c>
      <c r="D107" s="128"/>
      <c r="E107" s="126" t="s">
        <v>922</v>
      </c>
      <c r="F107" s="63" t="s">
        <v>819</v>
      </c>
      <c r="G107" s="129"/>
      <c r="H107" s="126" t="s">
        <v>915</v>
      </c>
      <c r="I107" s="130">
        <v>12.1</v>
      </c>
      <c r="J107" s="7"/>
      <c r="K107" s="9"/>
      <c r="L107" s="9"/>
      <c r="M107" s="9"/>
      <c r="N107" s="9"/>
      <c r="O107" s="9"/>
      <c r="P107" s="9"/>
      <c r="Q107" s="9"/>
      <c r="R107" s="9"/>
      <c r="S107" s="9"/>
      <c r="T107" s="9"/>
      <c r="U107" s="9"/>
      <c r="V107" s="9"/>
      <c r="W107" s="9"/>
      <c r="X107" s="9"/>
      <c r="Y107" s="9"/>
      <c r="Z107" s="9"/>
      <c r="AA107" s="9"/>
      <c r="AB107" s="9"/>
      <c r="AC107" s="9"/>
    </row>
    <row r="108" ht="46.5" customHeight="1">
      <c r="A108" s="51" t="s">
        <v>303</v>
      </c>
      <c r="B108" s="62" t="str">
        <f>VLOOKUP(A108,'HECVAT - Full'!A$24:B$312,2,FALSE)</f>
        <v>Does your organization conduct an annual test of relocating to an alternate site for business recovery purposes?</v>
      </c>
      <c r="C108" s="63" t="s">
        <v>817</v>
      </c>
      <c r="D108" s="128"/>
      <c r="E108" s="126" t="s">
        <v>917</v>
      </c>
      <c r="F108" s="63" t="s">
        <v>819</v>
      </c>
      <c r="G108" s="129"/>
      <c r="H108" s="126" t="s">
        <v>915</v>
      </c>
      <c r="I108" s="130">
        <v>12.1</v>
      </c>
      <c r="J108" s="7"/>
      <c r="K108" s="9"/>
      <c r="L108" s="9"/>
      <c r="M108" s="9"/>
      <c r="N108" s="9"/>
      <c r="O108" s="9"/>
      <c r="P108" s="9"/>
      <c r="Q108" s="9"/>
      <c r="R108" s="9"/>
      <c r="S108" s="9"/>
      <c r="T108" s="9"/>
      <c r="U108" s="9"/>
      <c r="V108" s="9"/>
      <c r="W108" s="9"/>
      <c r="X108" s="9"/>
      <c r="Y108" s="9"/>
      <c r="Z108" s="9"/>
      <c r="AA108" s="9"/>
      <c r="AB108" s="9"/>
      <c r="AC108" s="9"/>
    </row>
    <row r="109" ht="63.75" customHeight="1">
      <c r="A109" s="51" t="s">
        <v>305</v>
      </c>
      <c r="B109" s="62" t="str">
        <f>VLOOKUP(A109,'HECVAT - Full'!A$24:B$312,2,FALSE)</f>
        <v>Is this product a core service of your organization, and as such, the top priority during business continuity planning?</v>
      </c>
      <c r="C109" s="63" t="s">
        <v>817</v>
      </c>
      <c r="D109" s="128"/>
      <c r="E109" s="127"/>
      <c r="F109" s="63" t="s">
        <v>819</v>
      </c>
      <c r="G109" s="129"/>
      <c r="H109" s="126" t="s">
        <v>915</v>
      </c>
      <c r="I109" s="130">
        <v>12.1</v>
      </c>
      <c r="J109" s="7"/>
      <c r="K109" s="9"/>
      <c r="L109" s="9"/>
      <c r="M109" s="9"/>
      <c r="N109" s="9"/>
      <c r="O109" s="9"/>
      <c r="P109" s="9"/>
      <c r="Q109" s="9"/>
      <c r="R109" s="9"/>
      <c r="S109" s="9"/>
      <c r="T109" s="9"/>
      <c r="U109" s="9"/>
      <c r="V109" s="9"/>
      <c r="W109" s="9"/>
      <c r="X109" s="9"/>
      <c r="Y109" s="9"/>
      <c r="Z109" s="9"/>
      <c r="AA109" s="9"/>
      <c r="AB109" s="9"/>
      <c r="AC109" s="9"/>
    </row>
    <row r="110" ht="36.0" customHeight="1">
      <c r="A110" s="45" t="str">
        <f>IF($C$30="","Change Management",IF($C$30="Yes","Change Management - Optional based on QUALIFIER response.","Change Management"))</f>
        <v>Change Management</v>
      </c>
      <c r="B110" s="14"/>
      <c r="C110" s="60" t="str">
        <f>$C$22</f>
        <v>CIS Critical Security Controls v6.1</v>
      </c>
      <c r="D110" s="60" t="str">
        <f>$D$22</f>
        <v>HIPAA</v>
      </c>
      <c r="E110" s="60" t="str">
        <f>$E$22</f>
        <v>ISO 27002:2013</v>
      </c>
      <c r="F110" s="60" t="str">
        <f>$F$22</f>
        <v>NIST Cybersecurity Framework</v>
      </c>
      <c r="G110" s="60" t="str">
        <f>$G$22</f>
        <v>NIST SP 800-171r1</v>
      </c>
      <c r="H110" s="60" t="str">
        <f>$H$22</f>
        <v>NIST SP 800-53r4</v>
      </c>
      <c r="I110" s="60" t="s">
        <v>808</v>
      </c>
      <c r="J110" s="7"/>
      <c r="K110" s="9"/>
      <c r="L110" s="9"/>
      <c r="M110" s="9"/>
      <c r="N110" s="9"/>
      <c r="O110" s="9"/>
      <c r="P110" s="9"/>
      <c r="Q110" s="9"/>
      <c r="R110" s="9"/>
      <c r="S110" s="9"/>
      <c r="T110" s="9"/>
      <c r="U110" s="9"/>
      <c r="V110" s="9"/>
      <c r="W110" s="9"/>
      <c r="X110" s="9"/>
      <c r="Y110" s="9"/>
      <c r="Z110" s="9"/>
      <c r="AA110" s="9"/>
      <c r="AB110" s="9"/>
      <c r="AC110" s="9"/>
    </row>
    <row r="111" ht="48.0" customHeight="1">
      <c r="A111" s="51" t="s">
        <v>307</v>
      </c>
      <c r="B111" s="62" t="str">
        <f>VLOOKUP(A111,'HECVAT - Full'!A$24:B$312,2,FALSE)</f>
        <v>Do you have a documented and currently followed change management process (CMP)? </v>
      </c>
      <c r="C111" s="63" t="s">
        <v>817</v>
      </c>
      <c r="D111" s="128"/>
      <c r="E111" s="126" t="s">
        <v>923</v>
      </c>
      <c r="F111" s="63" t="s">
        <v>924</v>
      </c>
      <c r="G111" s="63" t="s">
        <v>925</v>
      </c>
      <c r="H111" s="126" t="s">
        <v>926</v>
      </c>
      <c r="I111" s="126" t="s">
        <v>927</v>
      </c>
      <c r="J111" s="7"/>
      <c r="K111" s="9"/>
      <c r="L111" s="9"/>
      <c r="M111" s="9"/>
      <c r="N111" s="9"/>
      <c r="O111" s="9"/>
      <c r="P111" s="9"/>
      <c r="Q111" s="9"/>
      <c r="R111" s="9"/>
      <c r="S111" s="9"/>
      <c r="T111" s="9"/>
      <c r="U111" s="9"/>
      <c r="V111" s="9"/>
      <c r="W111" s="9"/>
      <c r="X111" s="9"/>
      <c r="Y111" s="9"/>
      <c r="Z111" s="9"/>
      <c r="AA111" s="9"/>
      <c r="AB111" s="9"/>
      <c r="AC111" s="9"/>
    </row>
    <row r="112" ht="79.5" customHeight="1">
      <c r="A112" s="51" t="s">
        <v>310</v>
      </c>
      <c r="B112" s="62" t="str">
        <f>VLOOKUP(A112,'HECVAT - Full'!A$24:B$312,2,FALSE)</f>
        <v>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v>
      </c>
      <c r="C112" s="63" t="s">
        <v>817</v>
      </c>
      <c r="D112" s="128"/>
      <c r="E112" s="126" t="s">
        <v>923</v>
      </c>
      <c r="F112" s="63" t="s">
        <v>928</v>
      </c>
      <c r="G112" s="63" t="s">
        <v>929</v>
      </c>
      <c r="H112" s="126" t="s">
        <v>926</v>
      </c>
      <c r="I112" s="126" t="s">
        <v>927</v>
      </c>
      <c r="J112" s="7"/>
      <c r="K112" s="9"/>
      <c r="L112" s="9"/>
      <c r="M112" s="9"/>
      <c r="N112" s="9"/>
      <c r="O112" s="9"/>
      <c r="P112" s="9"/>
      <c r="Q112" s="9"/>
      <c r="R112" s="9"/>
      <c r="S112" s="9"/>
      <c r="T112" s="9"/>
      <c r="U112" s="9"/>
      <c r="V112" s="9"/>
      <c r="W112" s="9"/>
      <c r="X112" s="9"/>
      <c r="Y112" s="9"/>
      <c r="Z112" s="9"/>
      <c r="AA112" s="9"/>
      <c r="AB112" s="9"/>
      <c r="AC112" s="9"/>
    </row>
    <row r="113" ht="63.75" customHeight="1">
      <c r="A113" s="51" t="s">
        <v>314</v>
      </c>
      <c r="B113" s="62" t="str">
        <f>VLOOKUP(A113,'HECVAT - Full'!A$24:B$312,2,FALSE)</f>
        <v>Will the Institution be notified of major changes to your environment that could impact the Institution's security posture?</v>
      </c>
      <c r="C113" s="63" t="s">
        <v>817</v>
      </c>
      <c r="D113" s="128"/>
      <c r="E113" s="126" t="s">
        <v>923</v>
      </c>
      <c r="F113" s="128"/>
      <c r="G113" s="129"/>
      <c r="H113" s="126" t="s">
        <v>926</v>
      </c>
      <c r="I113" s="126" t="s">
        <v>930</v>
      </c>
      <c r="J113" s="7"/>
      <c r="K113" s="9"/>
      <c r="L113" s="9"/>
      <c r="M113" s="9"/>
      <c r="N113" s="9"/>
      <c r="O113" s="9"/>
      <c r="P113" s="9"/>
      <c r="Q113" s="9"/>
      <c r="R113" s="9"/>
      <c r="S113" s="9"/>
      <c r="T113" s="9"/>
      <c r="U113" s="9"/>
      <c r="V113" s="9"/>
      <c r="W113" s="9"/>
      <c r="X113" s="9"/>
      <c r="Y113" s="9"/>
      <c r="Z113" s="9"/>
      <c r="AA113" s="9"/>
      <c r="AB113" s="9"/>
      <c r="AC113" s="9"/>
    </row>
    <row r="114" ht="63.75" customHeight="1">
      <c r="A114" s="51" t="s">
        <v>317</v>
      </c>
      <c r="B114" s="62" t="str">
        <f>VLOOKUP(A114,'HECVAT - Full'!A$24:B$312,2,FALSE)</f>
        <v>Do clients have the option to not participate in or postpone an upgrade to a new release?</v>
      </c>
      <c r="C114" s="63" t="s">
        <v>817</v>
      </c>
      <c r="D114" s="135"/>
      <c r="E114" s="127"/>
      <c r="F114" s="128"/>
      <c r="G114" s="129"/>
      <c r="H114" s="126" t="s">
        <v>926</v>
      </c>
      <c r="I114" s="130">
        <v>12.1</v>
      </c>
      <c r="J114" s="7"/>
      <c r="K114" s="9"/>
      <c r="L114" s="9"/>
      <c r="M114" s="9"/>
      <c r="N114" s="9"/>
      <c r="O114" s="9"/>
      <c r="P114" s="9"/>
      <c r="Q114" s="9"/>
      <c r="R114" s="9"/>
      <c r="S114" s="9"/>
      <c r="T114" s="9"/>
      <c r="U114" s="9"/>
      <c r="V114" s="9"/>
      <c r="W114" s="9"/>
      <c r="X114" s="9"/>
      <c r="Y114" s="9"/>
      <c r="Z114" s="9"/>
      <c r="AA114" s="9"/>
      <c r="AB114" s="9"/>
      <c r="AC114" s="9"/>
    </row>
    <row r="115" ht="63.75" customHeight="1">
      <c r="A115" s="51" t="s">
        <v>320</v>
      </c>
      <c r="B115" s="62" t="str">
        <f>VLOOKUP(A115,'HECVAT - Full'!A$24:B$312,2,FALSE)</f>
        <v>Describe or provide a reference to your solution support strategy in relation to maintaining software currency. (i.e. how many concurrent versions are you willing to run and support?)</v>
      </c>
      <c r="C115" s="63" t="s">
        <v>864</v>
      </c>
      <c r="D115" s="128"/>
      <c r="E115" s="127"/>
      <c r="F115" s="128"/>
      <c r="G115" s="129"/>
      <c r="H115" s="126" t="s">
        <v>926</v>
      </c>
      <c r="I115" s="126" t="s">
        <v>931</v>
      </c>
      <c r="J115" s="7"/>
      <c r="K115" s="9"/>
      <c r="L115" s="9"/>
      <c r="M115" s="9"/>
      <c r="N115" s="9"/>
      <c r="O115" s="9"/>
      <c r="P115" s="9"/>
      <c r="Q115" s="9"/>
      <c r="R115" s="9"/>
      <c r="S115" s="9"/>
      <c r="T115" s="9"/>
      <c r="U115" s="9"/>
      <c r="V115" s="9"/>
      <c r="W115" s="9"/>
      <c r="X115" s="9"/>
      <c r="Y115" s="9"/>
      <c r="Z115" s="9"/>
      <c r="AA115" s="9"/>
      <c r="AB115" s="9"/>
      <c r="AC115" s="9"/>
    </row>
    <row r="116" ht="63.75" customHeight="1">
      <c r="A116" s="51" t="s">
        <v>324</v>
      </c>
      <c r="B116" s="62" t="str">
        <f>VLOOKUP(A116,'HECVAT - Full'!A$24:B$312,2,FALSE)</f>
        <v>Identify the most current version of the software. Detail the percentage of live customers that are utilizing the proposed version of the software as well as each version of the software currently in use.</v>
      </c>
      <c r="C116" s="63" t="s">
        <v>864</v>
      </c>
      <c r="D116" s="128"/>
      <c r="E116" s="127"/>
      <c r="F116" s="128"/>
      <c r="G116" s="129"/>
      <c r="H116" s="126" t="s">
        <v>926</v>
      </c>
      <c r="I116" s="132"/>
      <c r="J116" s="7"/>
      <c r="K116" s="9"/>
      <c r="L116" s="9"/>
      <c r="M116" s="9"/>
      <c r="N116" s="9"/>
      <c r="O116" s="9"/>
      <c r="P116" s="9"/>
      <c r="Q116" s="9"/>
      <c r="R116" s="9"/>
      <c r="S116" s="9"/>
      <c r="T116" s="9"/>
      <c r="U116" s="9"/>
      <c r="V116" s="9"/>
      <c r="W116" s="9"/>
      <c r="X116" s="9"/>
      <c r="Y116" s="9"/>
      <c r="Z116" s="9"/>
      <c r="AA116" s="9"/>
      <c r="AB116" s="9"/>
      <c r="AC116" s="9"/>
    </row>
    <row r="117" ht="63.75" customHeight="1">
      <c r="A117" s="51" t="s">
        <v>328</v>
      </c>
      <c r="B117" s="62" t="str">
        <f>VLOOKUP(A117,'HECVAT - Full'!A$24:B$312,2,FALSE)</f>
        <v>Does the system support client customizations from one release to another?</v>
      </c>
      <c r="C117" s="63" t="s">
        <v>817</v>
      </c>
      <c r="D117" s="128"/>
      <c r="E117" s="127"/>
      <c r="F117" s="128"/>
      <c r="G117" s="129"/>
      <c r="H117" s="126" t="s">
        <v>926</v>
      </c>
      <c r="I117" s="132"/>
      <c r="J117" s="7"/>
      <c r="K117" s="9"/>
      <c r="L117" s="9"/>
      <c r="M117" s="9"/>
      <c r="N117" s="9"/>
      <c r="O117" s="9"/>
      <c r="P117" s="9"/>
      <c r="Q117" s="9"/>
      <c r="R117" s="9"/>
      <c r="S117" s="9"/>
      <c r="T117" s="9"/>
      <c r="U117" s="9"/>
      <c r="V117" s="9"/>
      <c r="W117" s="9"/>
      <c r="X117" s="9"/>
      <c r="Y117" s="9"/>
      <c r="Z117" s="9"/>
      <c r="AA117" s="9"/>
      <c r="AB117" s="9"/>
      <c r="AC117" s="9"/>
    </row>
    <row r="118" ht="63.75" customHeight="1">
      <c r="A118" s="51" t="s">
        <v>331</v>
      </c>
      <c r="B118" s="62" t="str">
        <f>VLOOKUP(A118,'HECVAT - Full'!A$24:B$312,2,FALSE)</f>
        <v>Does your organization ensure through policy and procedure (that is currently implemented) that only application software verifiable as authorized, tested, and approved for production, and having met all other requirements and reviews necessary for commissioning, is placed into production?</v>
      </c>
      <c r="C118" s="63" t="s">
        <v>864</v>
      </c>
      <c r="D118" s="128"/>
      <c r="E118" s="126" t="s">
        <v>868</v>
      </c>
      <c r="F118" s="63" t="s">
        <v>932</v>
      </c>
      <c r="G118" s="63" t="s">
        <v>933</v>
      </c>
      <c r="H118" s="126" t="s">
        <v>926</v>
      </c>
      <c r="I118" s="130">
        <v>12.1</v>
      </c>
      <c r="J118" s="7"/>
      <c r="K118" s="9"/>
      <c r="L118" s="9"/>
      <c r="M118" s="9"/>
      <c r="N118" s="9"/>
      <c r="O118" s="9"/>
      <c r="P118" s="9"/>
      <c r="Q118" s="9"/>
      <c r="R118" s="9"/>
      <c r="S118" s="9"/>
      <c r="T118" s="9"/>
      <c r="U118" s="9"/>
      <c r="V118" s="9"/>
      <c r="W118" s="9"/>
      <c r="X118" s="9"/>
      <c r="Y118" s="9"/>
      <c r="Z118" s="9"/>
      <c r="AA118" s="9"/>
      <c r="AB118" s="9"/>
      <c r="AC118" s="9"/>
    </row>
    <row r="119" ht="63.75" customHeight="1">
      <c r="A119" s="51" t="s">
        <v>334</v>
      </c>
      <c r="B119" s="62" t="str">
        <f>VLOOKUP(A119,'HECVAT - Full'!A$24:B$312,2,FALSE)</f>
        <v>Do you have a release schedule for product updates?</v>
      </c>
      <c r="C119" s="63" t="s">
        <v>817</v>
      </c>
      <c r="D119" s="128"/>
      <c r="E119" s="127"/>
      <c r="F119" s="128"/>
      <c r="G119" s="63" t="s">
        <v>934</v>
      </c>
      <c r="H119" s="126" t="s">
        <v>926</v>
      </c>
      <c r="I119" s="132"/>
      <c r="J119" s="7"/>
      <c r="K119" s="9"/>
      <c r="L119" s="9"/>
      <c r="M119" s="9"/>
      <c r="N119" s="9"/>
      <c r="O119" s="9"/>
      <c r="P119" s="9"/>
      <c r="Q119" s="9"/>
      <c r="R119" s="9"/>
      <c r="S119" s="9"/>
      <c r="T119" s="9"/>
      <c r="U119" s="9"/>
      <c r="V119" s="9"/>
      <c r="W119" s="9"/>
      <c r="X119" s="9"/>
      <c r="Y119" s="9"/>
      <c r="Z119" s="9"/>
      <c r="AA119" s="9"/>
      <c r="AB119" s="9"/>
      <c r="AC119" s="9"/>
    </row>
    <row r="120" ht="63.75" customHeight="1">
      <c r="A120" s="51" t="s">
        <v>337</v>
      </c>
      <c r="B120" s="62" t="str">
        <f>VLOOKUP(A120,'HECVAT - Full'!A$24:B$312,2,FALSE)</f>
        <v>Do you have a technology roadmap, for the next 2 years, for enhancements and bug fixes for the product/service being assessed?</v>
      </c>
      <c r="C120" s="63" t="s">
        <v>864</v>
      </c>
      <c r="D120" s="128"/>
      <c r="E120" s="127"/>
      <c r="F120" s="128"/>
      <c r="G120" s="129"/>
      <c r="H120" s="126" t="s">
        <v>926</v>
      </c>
      <c r="I120" s="132"/>
      <c r="J120" s="7"/>
      <c r="K120" s="9"/>
      <c r="L120" s="9"/>
      <c r="M120" s="9"/>
      <c r="N120" s="9"/>
      <c r="O120" s="9"/>
      <c r="P120" s="9"/>
      <c r="Q120" s="9"/>
      <c r="R120" s="9"/>
      <c r="S120" s="9"/>
      <c r="T120" s="9"/>
      <c r="U120" s="9"/>
      <c r="V120" s="9"/>
      <c r="W120" s="9"/>
      <c r="X120" s="9"/>
      <c r="Y120" s="9"/>
      <c r="Z120" s="9"/>
      <c r="AA120" s="9"/>
      <c r="AB120" s="9"/>
      <c r="AC120" s="9"/>
    </row>
    <row r="121" ht="63.75" customHeight="1">
      <c r="A121" s="51" t="s">
        <v>340</v>
      </c>
      <c r="B121" s="62" t="str">
        <f>VLOOKUP(A121,'HECVAT - Full'!A$24:B$312,2,FALSE)</f>
        <v>Is Institution involvement (i.e. technically or organizationally) required during product updates?</v>
      </c>
      <c r="C121" s="128"/>
      <c r="D121" s="128"/>
      <c r="E121" s="127"/>
      <c r="F121" s="128"/>
      <c r="G121" s="129"/>
      <c r="H121" s="126" t="s">
        <v>926</v>
      </c>
      <c r="I121" s="132"/>
      <c r="J121" s="7"/>
      <c r="K121" s="9"/>
      <c r="L121" s="9"/>
      <c r="M121" s="9"/>
      <c r="N121" s="9"/>
      <c r="O121" s="9"/>
      <c r="P121" s="9"/>
      <c r="Q121" s="9"/>
      <c r="R121" s="9"/>
      <c r="S121" s="9"/>
      <c r="T121" s="9"/>
      <c r="U121" s="9"/>
      <c r="V121" s="9"/>
      <c r="W121" s="9"/>
      <c r="X121" s="9"/>
      <c r="Y121" s="9"/>
      <c r="Z121" s="9"/>
      <c r="AA121" s="9"/>
      <c r="AB121" s="9"/>
      <c r="AC121" s="9"/>
    </row>
    <row r="122" ht="63.75" customHeight="1">
      <c r="A122" s="51" t="s">
        <v>342</v>
      </c>
      <c r="B122" s="62" t="str">
        <f>VLOOKUP(A122,'HECVAT - Full'!A$24:B$312,2,FALSE)</f>
        <v>Do you have policy and procedure, currently implemented, managing how critical patches are applied to all systems and applications?</v>
      </c>
      <c r="C122" s="63" t="s">
        <v>864</v>
      </c>
      <c r="D122" s="128"/>
      <c r="E122" s="126" t="s">
        <v>935</v>
      </c>
      <c r="F122" s="128"/>
      <c r="G122" s="129"/>
      <c r="H122" s="126" t="s">
        <v>926</v>
      </c>
      <c r="I122" s="126" t="s">
        <v>936</v>
      </c>
      <c r="J122" s="7"/>
      <c r="K122" s="9"/>
      <c r="L122" s="9"/>
      <c r="M122" s="9"/>
      <c r="N122" s="9"/>
      <c r="O122" s="9"/>
      <c r="P122" s="9"/>
      <c r="Q122" s="9"/>
      <c r="R122" s="9"/>
      <c r="S122" s="9"/>
      <c r="T122" s="9"/>
      <c r="U122" s="9"/>
      <c r="V122" s="9"/>
      <c r="W122" s="9"/>
      <c r="X122" s="9"/>
      <c r="Y122" s="9"/>
      <c r="Z122" s="9"/>
      <c r="AA122" s="9"/>
      <c r="AB122" s="9"/>
      <c r="AC122" s="9"/>
    </row>
    <row r="123" ht="63.75" customHeight="1">
      <c r="A123" s="51" t="s">
        <v>345</v>
      </c>
      <c r="B123" s="62" t="str">
        <f>VLOOKUP(A123,'HECVAT - Full'!A$24:B$312,2,FALSE)</f>
        <v>Do you have policy and procedure, currently implemented, guiding how security risks are mitigated until patches can be applied?</v>
      </c>
      <c r="C123" s="63" t="s">
        <v>809</v>
      </c>
      <c r="D123" s="126" t="s">
        <v>937</v>
      </c>
      <c r="E123" s="126" t="s">
        <v>935</v>
      </c>
      <c r="F123" s="128"/>
      <c r="G123" s="129"/>
      <c r="H123" s="126" t="s">
        <v>926</v>
      </c>
      <c r="I123" s="126" t="s">
        <v>938</v>
      </c>
      <c r="J123" s="7"/>
      <c r="K123" s="9"/>
      <c r="L123" s="9"/>
      <c r="M123" s="9"/>
      <c r="N123" s="9"/>
      <c r="O123" s="9"/>
      <c r="P123" s="9"/>
      <c r="Q123" s="9"/>
      <c r="R123" s="9"/>
      <c r="S123" s="9"/>
      <c r="T123" s="9"/>
      <c r="U123" s="9"/>
      <c r="V123" s="9"/>
      <c r="W123" s="9"/>
      <c r="X123" s="9"/>
      <c r="Y123" s="9"/>
      <c r="Z123" s="9"/>
      <c r="AA123" s="9"/>
      <c r="AB123" s="9"/>
      <c r="AC123" s="9"/>
    </row>
    <row r="124" ht="48.0" customHeight="1">
      <c r="A124" s="51" t="s">
        <v>348</v>
      </c>
      <c r="B124" s="62" t="str">
        <f>VLOOKUP(A124,'HECVAT - Full'!A$24:B$312,2,FALSE)</f>
        <v>Are upgrades or system changes installed during off-peak hours or in a manner that does not impact the customer?</v>
      </c>
      <c r="C124" s="63" t="s">
        <v>817</v>
      </c>
      <c r="D124" s="135"/>
      <c r="E124" s="127"/>
      <c r="F124" s="128"/>
      <c r="G124" s="129"/>
      <c r="H124" s="126" t="s">
        <v>926</v>
      </c>
      <c r="I124" s="126" t="s">
        <v>939</v>
      </c>
      <c r="J124" s="7"/>
      <c r="K124" s="9"/>
      <c r="L124" s="9"/>
      <c r="M124" s="9"/>
      <c r="N124" s="9"/>
      <c r="O124" s="9"/>
      <c r="P124" s="9"/>
      <c r="Q124" s="9"/>
      <c r="R124" s="9"/>
      <c r="S124" s="9"/>
      <c r="T124" s="9"/>
      <c r="U124" s="9"/>
      <c r="V124" s="9"/>
      <c r="W124" s="9"/>
      <c r="X124" s="9"/>
      <c r="Y124" s="9"/>
      <c r="Z124" s="9"/>
      <c r="AA124" s="9"/>
      <c r="AB124" s="9"/>
      <c r="AC124" s="9"/>
    </row>
    <row r="125" ht="48.0" customHeight="1">
      <c r="A125" s="51" t="s">
        <v>351</v>
      </c>
      <c r="B125" s="62" t="str">
        <f>VLOOKUP(A125,'HECVAT - Full'!A$24:B$312,2,FALSE)</f>
        <v>Do procedures exist to provide that emergency changes are documented and authorized (including after the fact approval)?</v>
      </c>
      <c r="C125" s="63" t="s">
        <v>817</v>
      </c>
      <c r="D125" s="135"/>
      <c r="E125" s="126" t="s">
        <v>923</v>
      </c>
      <c r="F125" s="63" t="s">
        <v>924</v>
      </c>
      <c r="G125" s="129"/>
      <c r="H125" s="126" t="s">
        <v>926</v>
      </c>
      <c r="I125" s="126" t="s">
        <v>940</v>
      </c>
      <c r="J125" s="7"/>
      <c r="K125" s="9"/>
      <c r="L125" s="9"/>
      <c r="M125" s="9"/>
      <c r="N125" s="9"/>
      <c r="O125" s="9"/>
      <c r="P125" s="9"/>
      <c r="Q125" s="9"/>
      <c r="R125" s="9"/>
      <c r="S125" s="9"/>
      <c r="T125" s="9"/>
      <c r="U125" s="9"/>
      <c r="V125" s="9"/>
      <c r="W125" s="9"/>
      <c r="X125" s="9"/>
      <c r="Y125" s="9"/>
      <c r="Z125" s="9"/>
      <c r="AA125" s="9"/>
      <c r="AB125" s="9"/>
      <c r="AC125" s="9"/>
    </row>
    <row r="126" ht="36.0" customHeight="1">
      <c r="A126" s="45" t="str">
        <f>IF($C$30="","Data",IF($C$30="Yes","Data - Optional based on QUALIFIER response.","Data"))</f>
        <v>Data</v>
      </c>
      <c r="B126" s="14"/>
      <c r="C126" s="60" t="str">
        <f>$C$22</f>
        <v>CIS Critical Security Controls v6.1</v>
      </c>
      <c r="D126" s="60" t="str">
        <f>$D$22</f>
        <v>HIPAA</v>
      </c>
      <c r="E126" s="60" t="str">
        <f>$E$22</f>
        <v>ISO 27002:2013</v>
      </c>
      <c r="F126" s="60" t="str">
        <f>$F$22</f>
        <v>NIST Cybersecurity Framework</v>
      </c>
      <c r="G126" s="60" t="str">
        <f>$G$22</f>
        <v>NIST SP 800-171r1</v>
      </c>
      <c r="H126" s="60" t="str">
        <f>$H$22</f>
        <v>NIST SP 800-53r4</v>
      </c>
      <c r="I126" s="60" t="s">
        <v>808</v>
      </c>
      <c r="J126" s="99"/>
      <c r="K126" s="100"/>
      <c r="L126" s="100"/>
      <c r="M126" s="100"/>
      <c r="N126" s="100"/>
      <c r="O126" s="100"/>
      <c r="P126" s="100"/>
      <c r="Q126" s="100"/>
      <c r="R126" s="100"/>
      <c r="S126" s="100"/>
      <c r="T126" s="100"/>
      <c r="U126" s="100"/>
      <c r="V126" s="100"/>
      <c r="W126" s="100"/>
      <c r="X126" s="100"/>
      <c r="Y126" s="100"/>
      <c r="Z126" s="100"/>
      <c r="AA126" s="100"/>
      <c r="AB126" s="100"/>
      <c r="AC126" s="100"/>
    </row>
    <row r="127" ht="48.0" customHeight="1">
      <c r="A127" s="51" t="s">
        <v>354</v>
      </c>
      <c r="B127" s="62" t="str">
        <f>VLOOKUP(A127,'HECVAT - Full'!A$24:B$312,2,FALSE)</f>
        <v>Do you physically and logically separate Institution's data from that of other customers?</v>
      </c>
      <c r="C127" s="63" t="s">
        <v>860</v>
      </c>
      <c r="D127" s="127"/>
      <c r="E127" s="127"/>
      <c r="F127" s="63" t="s">
        <v>941</v>
      </c>
      <c r="G127" s="63" t="s">
        <v>942</v>
      </c>
      <c r="H127" s="126" t="s">
        <v>943</v>
      </c>
      <c r="I127" s="130">
        <v>12.8</v>
      </c>
      <c r="J127" s="99"/>
      <c r="K127" s="100"/>
      <c r="L127" s="100"/>
      <c r="M127" s="100"/>
      <c r="N127" s="100"/>
      <c r="O127" s="100"/>
      <c r="P127" s="100"/>
      <c r="Q127" s="100"/>
      <c r="R127" s="100"/>
      <c r="S127" s="100"/>
      <c r="T127" s="100"/>
      <c r="U127" s="100"/>
      <c r="V127" s="100"/>
      <c r="W127" s="100"/>
      <c r="X127" s="100"/>
      <c r="Y127" s="100"/>
      <c r="Z127" s="100"/>
      <c r="AA127" s="100"/>
      <c r="AB127" s="100"/>
      <c r="AC127" s="100"/>
    </row>
    <row r="128" ht="48.0" customHeight="1">
      <c r="A128" s="51" t="s">
        <v>357</v>
      </c>
      <c r="B128" s="62" t="str">
        <f>VLOOKUP(A128,'HECVAT - Full'!A$24:B$312,2,FALSE)</f>
        <v>Will Institution's data be stored on any devices (database servers, file servers, SAN, NAS, …) configured with non-RFC 1918/4193 (i.e. publicly routable) IP addresses?</v>
      </c>
      <c r="C128" s="63" t="s">
        <v>860</v>
      </c>
      <c r="D128" s="127"/>
      <c r="E128" s="127"/>
      <c r="F128" s="63" t="s">
        <v>941</v>
      </c>
      <c r="G128" s="63" t="s">
        <v>944</v>
      </c>
      <c r="H128" s="126" t="s">
        <v>945</v>
      </c>
      <c r="I128" s="126" t="s">
        <v>946</v>
      </c>
      <c r="J128" s="99"/>
      <c r="K128" s="100"/>
      <c r="L128" s="100"/>
      <c r="M128" s="100"/>
      <c r="N128" s="100"/>
      <c r="O128" s="100"/>
      <c r="P128" s="100"/>
      <c r="Q128" s="100"/>
      <c r="R128" s="100"/>
      <c r="S128" s="100"/>
      <c r="T128" s="100"/>
      <c r="U128" s="100"/>
      <c r="V128" s="100"/>
      <c r="W128" s="100"/>
      <c r="X128" s="100"/>
      <c r="Y128" s="100"/>
      <c r="Z128" s="100"/>
      <c r="AA128" s="100"/>
      <c r="AB128" s="100"/>
      <c r="AC128" s="100"/>
    </row>
    <row r="129" ht="48.0" customHeight="1">
      <c r="A129" s="51" t="s">
        <v>359</v>
      </c>
      <c r="B129" s="62" t="str">
        <f>VLOOKUP(A129,'HECVAT - Full'!A$24:B$312,2,FALSE)</f>
        <v>Is sensitive data encrypted in transport? (e.g. system-to-client)</v>
      </c>
      <c r="C129" s="63" t="s">
        <v>809</v>
      </c>
      <c r="D129" s="127"/>
      <c r="E129" s="126" t="s">
        <v>947</v>
      </c>
      <c r="F129" s="63" t="s">
        <v>948</v>
      </c>
      <c r="G129" s="129"/>
      <c r="H129" s="127"/>
      <c r="I129" s="126" t="s">
        <v>949</v>
      </c>
      <c r="J129" s="99"/>
      <c r="K129" s="100"/>
      <c r="L129" s="100"/>
      <c r="M129" s="100"/>
      <c r="N129" s="100"/>
      <c r="O129" s="100"/>
      <c r="P129" s="100"/>
      <c r="Q129" s="100"/>
      <c r="R129" s="100"/>
      <c r="S129" s="100"/>
      <c r="T129" s="100"/>
      <c r="U129" s="100"/>
      <c r="V129" s="100"/>
      <c r="W129" s="100"/>
      <c r="X129" s="100"/>
      <c r="Y129" s="100"/>
      <c r="Z129" s="100"/>
      <c r="AA129" s="100"/>
      <c r="AB129" s="100"/>
      <c r="AC129" s="100"/>
    </row>
    <row r="130" ht="48.0" customHeight="1">
      <c r="A130" s="51" t="s">
        <v>362</v>
      </c>
      <c r="B130" s="62" t="str">
        <f>VLOOKUP(A130,'HECVAT - Full'!A$24:B$312,2,FALSE)</f>
        <v>Is sensitive data encrypted in storage (e.g. disk encryption, at-rest)?</v>
      </c>
      <c r="C130" s="63" t="s">
        <v>809</v>
      </c>
      <c r="D130" s="127"/>
      <c r="E130" s="126" t="s">
        <v>950</v>
      </c>
      <c r="F130" s="63" t="s">
        <v>951</v>
      </c>
      <c r="G130" s="63" t="s">
        <v>952</v>
      </c>
      <c r="H130" s="126" t="s">
        <v>953</v>
      </c>
      <c r="I130" s="130">
        <v>12.8</v>
      </c>
      <c r="J130" s="99"/>
      <c r="K130" s="100"/>
      <c r="L130" s="100"/>
      <c r="M130" s="100"/>
      <c r="N130" s="100"/>
      <c r="O130" s="100"/>
      <c r="P130" s="100"/>
      <c r="Q130" s="100"/>
      <c r="R130" s="100"/>
      <c r="S130" s="100"/>
      <c r="T130" s="100"/>
      <c r="U130" s="100"/>
      <c r="V130" s="100"/>
      <c r="W130" s="100"/>
      <c r="X130" s="100"/>
      <c r="Y130" s="100"/>
      <c r="Z130" s="100"/>
      <c r="AA130" s="100"/>
      <c r="AB130" s="100"/>
      <c r="AC130" s="100"/>
    </row>
    <row r="131" ht="48.0" customHeight="1">
      <c r="A131" s="51" t="s">
        <v>365</v>
      </c>
      <c r="B131" s="62" t="str">
        <f>VLOOKUP(A131,'HECVAT - Full'!A$24:B$312,2,FALSE)</f>
        <v>Do you employ or allow any cryptographic modules that do not conform to the Federal Information Processing Standards (FIPS PUB 140-2)?</v>
      </c>
      <c r="C131" s="63" t="s">
        <v>809</v>
      </c>
      <c r="D131" s="127"/>
      <c r="E131" s="126" t="s">
        <v>950</v>
      </c>
      <c r="F131" s="128"/>
      <c r="G131" s="63" t="s">
        <v>954</v>
      </c>
      <c r="H131" s="127"/>
      <c r="I131" s="130">
        <v>12.1</v>
      </c>
      <c r="J131" s="99"/>
      <c r="K131" s="100"/>
      <c r="L131" s="100"/>
      <c r="M131" s="100"/>
      <c r="N131" s="100"/>
      <c r="O131" s="100"/>
      <c r="P131" s="100"/>
      <c r="Q131" s="100"/>
      <c r="R131" s="100"/>
      <c r="S131" s="100"/>
      <c r="T131" s="100"/>
      <c r="U131" s="100"/>
      <c r="V131" s="100"/>
      <c r="W131" s="100"/>
      <c r="X131" s="100"/>
      <c r="Y131" s="100"/>
      <c r="Z131" s="100"/>
      <c r="AA131" s="100"/>
      <c r="AB131" s="100"/>
      <c r="AC131" s="100"/>
    </row>
    <row r="132" ht="64.5" customHeight="1">
      <c r="A132" s="51" t="s">
        <v>367</v>
      </c>
      <c r="B132" s="62" t="str">
        <f>VLOOKUP(A132,'HECVAT - Full'!A$24:B$312,2,FALSE)</f>
        <v>Does your system employ encryption technologies when transmitting sensitive information over TCP/IP networks (e.g., SSH, SSL/TLS, VPN)? (e.g. system-to-system and system-to-client)</v>
      </c>
      <c r="C132" s="63" t="s">
        <v>809</v>
      </c>
      <c r="D132" s="127"/>
      <c r="E132" s="126" t="s">
        <v>955</v>
      </c>
      <c r="F132" s="63" t="s">
        <v>948</v>
      </c>
      <c r="G132" s="129"/>
      <c r="H132" s="126" t="s">
        <v>956</v>
      </c>
      <c r="I132" s="126" t="s">
        <v>949</v>
      </c>
      <c r="J132" s="99"/>
      <c r="K132" s="100"/>
      <c r="L132" s="100"/>
      <c r="M132" s="100"/>
      <c r="N132" s="100"/>
      <c r="O132" s="100"/>
      <c r="P132" s="100"/>
      <c r="Q132" s="100"/>
      <c r="R132" s="100"/>
      <c r="S132" s="100"/>
      <c r="T132" s="100"/>
      <c r="U132" s="100"/>
      <c r="V132" s="100"/>
      <c r="W132" s="100"/>
      <c r="X132" s="100"/>
      <c r="Y132" s="100"/>
      <c r="Z132" s="100"/>
      <c r="AA132" s="100"/>
      <c r="AB132" s="100"/>
      <c r="AC132" s="100"/>
    </row>
    <row r="133" ht="60.0" customHeight="1">
      <c r="A133" s="51" t="s">
        <v>370</v>
      </c>
      <c r="B133" s="62" t="str">
        <f>VLOOKUP(A133,'HECVAT - Full'!A$24:B$312,2,FALSE)</f>
        <v>List all locations (i.e. city + datacenter name) where the institution's data will be stored?</v>
      </c>
      <c r="C133" s="63" t="s">
        <v>957</v>
      </c>
      <c r="D133" s="127"/>
      <c r="E133" s="127"/>
      <c r="F133" s="128"/>
      <c r="G133" s="63" t="s">
        <v>958</v>
      </c>
      <c r="H133" s="126" t="s">
        <v>846</v>
      </c>
      <c r="I133" s="126" t="s">
        <v>946</v>
      </c>
      <c r="J133" s="99"/>
      <c r="K133" s="100"/>
      <c r="L133" s="100"/>
      <c r="M133" s="100"/>
      <c r="N133" s="100"/>
      <c r="O133" s="100"/>
      <c r="P133" s="100"/>
      <c r="Q133" s="100"/>
      <c r="R133" s="100"/>
      <c r="S133" s="100"/>
      <c r="T133" s="100"/>
      <c r="U133" s="100"/>
      <c r="V133" s="100"/>
      <c r="W133" s="100"/>
      <c r="X133" s="100"/>
      <c r="Y133" s="100"/>
      <c r="Z133" s="100"/>
      <c r="AA133" s="100"/>
      <c r="AB133" s="100"/>
      <c r="AC133" s="100"/>
    </row>
    <row r="134" ht="36.0" customHeight="1">
      <c r="A134" s="51" t="s">
        <v>374</v>
      </c>
      <c r="B134" s="62" t="str">
        <f>VLOOKUP(A134,'HECVAT - Full'!A$24:B$312,2,FALSE)</f>
        <v>At the completion of this contract, will data be returned to the institution?</v>
      </c>
      <c r="C134" s="63" t="s">
        <v>809</v>
      </c>
      <c r="D134" s="127"/>
      <c r="E134" s="126" t="s">
        <v>959</v>
      </c>
      <c r="F134" s="128"/>
      <c r="G134" s="63" t="s">
        <v>958</v>
      </c>
      <c r="H134" s="126" t="s">
        <v>846</v>
      </c>
      <c r="I134" s="130">
        <v>12.8</v>
      </c>
      <c r="J134" s="99"/>
      <c r="K134" s="100"/>
      <c r="L134" s="100"/>
      <c r="M134" s="100"/>
      <c r="N134" s="100"/>
      <c r="O134" s="100"/>
      <c r="P134" s="100"/>
      <c r="Q134" s="100"/>
      <c r="R134" s="100"/>
      <c r="S134" s="100"/>
      <c r="T134" s="100"/>
      <c r="U134" s="100"/>
      <c r="V134" s="100"/>
      <c r="W134" s="100"/>
      <c r="X134" s="100"/>
      <c r="Y134" s="100"/>
      <c r="Z134" s="100"/>
      <c r="AA134" s="100"/>
      <c r="AB134" s="100"/>
      <c r="AC134" s="100"/>
    </row>
    <row r="135" ht="48.0" customHeight="1">
      <c r="A135" s="51" t="s">
        <v>377</v>
      </c>
      <c r="B135" s="62" t="str">
        <f>VLOOKUP(A135,'HECVAT - Full'!A$24:B$312,2,FALSE)</f>
        <v>Will the institution's data be available within the system for a period of time at the completion of this contract?</v>
      </c>
      <c r="C135" s="63" t="s">
        <v>809</v>
      </c>
      <c r="D135" s="127"/>
      <c r="E135" s="126" t="s">
        <v>959</v>
      </c>
      <c r="F135" s="128"/>
      <c r="G135" s="129"/>
      <c r="H135" s="127"/>
      <c r="I135" s="130">
        <v>12.8</v>
      </c>
      <c r="J135" s="99"/>
      <c r="K135" s="100"/>
      <c r="L135" s="100"/>
      <c r="M135" s="100"/>
      <c r="N135" s="100"/>
      <c r="O135" s="100"/>
      <c r="P135" s="100"/>
      <c r="Q135" s="100"/>
      <c r="R135" s="100"/>
      <c r="S135" s="100"/>
      <c r="T135" s="100"/>
      <c r="U135" s="100"/>
      <c r="V135" s="100"/>
      <c r="W135" s="100"/>
      <c r="X135" s="100"/>
      <c r="Y135" s="100"/>
      <c r="Z135" s="100"/>
      <c r="AA135" s="100"/>
      <c r="AB135" s="100"/>
      <c r="AC135" s="100"/>
    </row>
    <row r="136" ht="36.0" customHeight="1">
      <c r="A136" s="51" t="s">
        <v>379</v>
      </c>
      <c r="B136" s="62" t="str">
        <f>VLOOKUP(A136,'HECVAT - Full'!A$24:B$312,2,FALSE)</f>
        <v>Can the institution extract a full backup of data?</v>
      </c>
      <c r="C136" s="128"/>
      <c r="D136" s="127"/>
      <c r="E136" s="126" t="s">
        <v>960</v>
      </c>
      <c r="F136" s="128"/>
      <c r="G136" s="129"/>
      <c r="H136" s="127"/>
      <c r="I136" s="130">
        <v>12.8</v>
      </c>
      <c r="J136" s="99"/>
      <c r="K136" s="100"/>
      <c r="L136" s="100"/>
      <c r="M136" s="100"/>
      <c r="N136" s="100"/>
      <c r="O136" s="100"/>
      <c r="P136" s="100"/>
      <c r="Q136" s="100"/>
      <c r="R136" s="100"/>
      <c r="S136" s="100"/>
      <c r="T136" s="100"/>
      <c r="U136" s="100"/>
      <c r="V136" s="100"/>
      <c r="W136" s="100"/>
      <c r="X136" s="100"/>
      <c r="Y136" s="100"/>
      <c r="Z136" s="100"/>
      <c r="AA136" s="100"/>
      <c r="AB136" s="100"/>
      <c r="AC136" s="100"/>
    </row>
    <row r="137" ht="48.0" customHeight="1">
      <c r="A137" s="51" t="s">
        <v>382</v>
      </c>
      <c r="B137" s="62" t="str">
        <f>VLOOKUP(A137,'HECVAT - Full'!A$24:B$312,2,FALSE)</f>
        <v>Are ownership rights to all data, inputs, outputs, and metadata retained by the institution?</v>
      </c>
      <c r="C137" s="63" t="s">
        <v>809</v>
      </c>
      <c r="D137" s="127"/>
      <c r="E137" s="126" t="s">
        <v>961</v>
      </c>
      <c r="F137" s="128"/>
      <c r="G137" s="63" t="s">
        <v>958</v>
      </c>
      <c r="H137" s="127"/>
      <c r="I137" s="130">
        <v>12.8</v>
      </c>
      <c r="J137" s="99"/>
      <c r="K137" s="100"/>
      <c r="L137" s="100"/>
      <c r="M137" s="100"/>
      <c r="N137" s="100"/>
      <c r="O137" s="100"/>
      <c r="P137" s="100"/>
      <c r="Q137" s="100"/>
      <c r="R137" s="100"/>
      <c r="S137" s="100"/>
      <c r="T137" s="100"/>
      <c r="U137" s="100"/>
      <c r="V137" s="100"/>
      <c r="W137" s="100"/>
      <c r="X137" s="100"/>
      <c r="Y137" s="100"/>
      <c r="Z137" s="100"/>
      <c r="AA137" s="100"/>
      <c r="AB137" s="100"/>
      <c r="AC137" s="100"/>
    </row>
    <row r="138" ht="36.0" customHeight="1">
      <c r="A138" s="51" t="s">
        <v>384</v>
      </c>
      <c r="B138" s="62" t="str">
        <f>VLOOKUP(A138,'HECVAT - Full'!A$24:B$312,2,FALSE)</f>
        <v>Are these rights retained even through a provider acquisition or bankruptcy event?</v>
      </c>
      <c r="C138" s="63" t="s">
        <v>809</v>
      </c>
      <c r="D138" s="127"/>
      <c r="E138" s="126" t="s">
        <v>961</v>
      </c>
      <c r="F138" s="128"/>
      <c r="G138" s="63" t="s">
        <v>836</v>
      </c>
      <c r="H138" s="127"/>
      <c r="I138" s="130">
        <v>12.8</v>
      </c>
      <c r="J138" s="99"/>
      <c r="K138" s="100"/>
      <c r="L138" s="100"/>
      <c r="M138" s="100"/>
      <c r="N138" s="100"/>
      <c r="O138" s="100"/>
      <c r="P138" s="100"/>
      <c r="Q138" s="100"/>
      <c r="R138" s="100"/>
      <c r="S138" s="100"/>
      <c r="T138" s="100"/>
      <c r="U138" s="100"/>
      <c r="V138" s="100"/>
      <c r="W138" s="100"/>
      <c r="X138" s="100"/>
      <c r="Y138" s="100"/>
      <c r="Z138" s="100"/>
      <c r="AA138" s="100"/>
      <c r="AB138" s="100"/>
      <c r="AC138" s="100"/>
    </row>
    <row r="139" ht="54.0" customHeight="1">
      <c r="A139" s="51" t="s">
        <v>386</v>
      </c>
      <c r="B139" s="62" t="str">
        <f>VLOOKUP(A139,'HECVAT - Full'!A$24:B$312,2,FALSE)</f>
        <v>In the event of imminent bankruptcy, closing of business, or retirement of service, will you provide 90 days for customers to get their data out of the system and migrate applications?</v>
      </c>
      <c r="C139" s="63" t="s">
        <v>962</v>
      </c>
      <c r="D139" s="127"/>
      <c r="E139" s="126" t="s">
        <v>961</v>
      </c>
      <c r="F139" s="128"/>
      <c r="G139" s="63" t="s">
        <v>958</v>
      </c>
      <c r="H139" s="127"/>
      <c r="I139" s="130">
        <v>12.8</v>
      </c>
      <c r="J139" s="99"/>
      <c r="K139" s="100"/>
      <c r="L139" s="100"/>
      <c r="M139" s="100"/>
      <c r="N139" s="100"/>
      <c r="O139" s="100"/>
      <c r="P139" s="100"/>
      <c r="Q139" s="100"/>
      <c r="R139" s="100"/>
      <c r="S139" s="100"/>
      <c r="T139" s="100"/>
      <c r="U139" s="100"/>
      <c r="V139" s="100"/>
      <c r="W139" s="100"/>
      <c r="X139" s="100"/>
      <c r="Y139" s="100"/>
      <c r="Z139" s="100"/>
      <c r="AA139" s="100"/>
      <c r="AB139" s="100"/>
      <c r="AC139" s="100"/>
    </row>
    <row r="140" ht="48.0" customHeight="1">
      <c r="A140" s="51" t="s">
        <v>389</v>
      </c>
      <c r="B140" s="62" t="str">
        <f>VLOOKUP(A140,'HECVAT - Full'!A$24:B$312,2,FALSE)</f>
        <v>Describe or provide a reference to the backup processes for the servers on which the service and/or data resides. </v>
      </c>
      <c r="C140" s="63" t="s">
        <v>817</v>
      </c>
      <c r="D140" s="127"/>
      <c r="E140" s="126" t="s">
        <v>960</v>
      </c>
      <c r="F140" s="63" t="s">
        <v>963</v>
      </c>
      <c r="G140" s="63" t="s">
        <v>964</v>
      </c>
      <c r="H140" s="126" t="s">
        <v>965</v>
      </c>
      <c r="I140" s="126" t="s">
        <v>966</v>
      </c>
      <c r="J140" s="99"/>
      <c r="K140" s="100"/>
      <c r="L140" s="100"/>
      <c r="M140" s="100"/>
      <c r="N140" s="100"/>
      <c r="O140" s="100"/>
      <c r="P140" s="100"/>
      <c r="Q140" s="100"/>
      <c r="R140" s="100"/>
      <c r="S140" s="100"/>
      <c r="T140" s="100"/>
      <c r="U140" s="100"/>
      <c r="V140" s="100"/>
      <c r="W140" s="100"/>
      <c r="X140" s="100"/>
      <c r="Y140" s="100"/>
      <c r="Z140" s="100"/>
      <c r="AA140" s="100"/>
      <c r="AB140" s="100"/>
      <c r="AC140" s="100"/>
    </row>
    <row r="141" ht="48.0" customHeight="1">
      <c r="A141" s="51" t="s">
        <v>393</v>
      </c>
      <c r="B141" s="62" t="str">
        <f>VLOOKUP(A141,'HECVAT - Full'!A$24:B$312,2,FALSE)</f>
        <v>Are backup copies made according to pre-defined schedules and securely stored and protected?</v>
      </c>
      <c r="C141" s="63" t="s">
        <v>817</v>
      </c>
      <c r="D141" s="127"/>
      <c r="E141" s="126" t="s">
        <v>960</v>
      </c>
      <c r="F141" s="63" t="s">
        <v>963</v>
      </c>
      <c r="G141" s="63" t="s">
        <v>964</v>
      </c>
      <c r="H141" s="126" t="s">
        <v>965</v>
      </c>
      <c r="I141" s="130">
        <v>12.8</v>
      </c>
      <c r="J141" s="99"/>
      <c r="K141" s="100"/>
      <c r="L141" s="100"/>
      <c r="M141" s="100"/>
      <c r="N141" s="100"/>
      <c r="O141" s="100"/>
      <c r="P141" s="100"/>
      <c r="Q141" s="100"/>
      <c r="R141" s="100"/>
      <c r="S141" s="100"/>
      <c r="T141" s="100"/>
      <c r="U141" s="100"/>
      <c r="V141" s="100"/>
      <c r="W141" s="100"/>
      <c r="X141" s="100"/>
      <c r="Y141" s="100"/>
      <c r="Z141" s="100"/>
      <c r="AA141" s="100"/>
      <c r="AB141" s="100"/>
      <c r="AC141" s="100"/>
    </row>
    <row r="142" ht="36.0" customHeight="1">
      <c r="A142" s="51" t="s">
        <v>396</v>
      </c>
      <c r="B142" s="62" t="str">
        <f>VLOOKUP(A142,'HECVAT - Full'!A$24:B$312,2,FALSE)</f>
        <v>How long are data backups stored?</v>
      </c>
      <c r="C142" s="63" t="s">
        <v>817</v>
      </c>
      <c r="D142" s="127"/>
      <c r="E142" s="126" t="s">
        <v>960</v>
      </c>
      <c r="F142" s="63" t="s">
        <v>963</v>
      </c>
      <c r="G142" s="63" t="s">
        <v>964</v>
      </c>
      <c r="H142" s="126" t="s">
        <v>965</v>
      </c>
      <c r="I142" s="127"/>
      <c r="J142" s="99"/>
      <c r="K142" s="100"/>
      <c r="L142" s="100"/>
      <c r="M142" s="100"/>
      <c r="N142" s="100"/>
      <c r="O142" s="100"/>
      <c r="P142" s="100"/>
      <c r="Q142" s="100"/>
      <c r="R142" s="100"/>
      <c r="S142" s="100"/>
      <c r="T142" s="100"/>
      <c r="U142" s="100"/>
      <c r="V142" s="100"/>
      <c r="W142" s="100"/>
      <c r="X142" s="100"/>
      <c r="Y142" s="100"/>
      <c r="Z142" s="100"/>
      <c r="AA142" s="100"/>
      <c r="AB142" s="100"/>
      <c r="AC142" s="100"/>
    </row>
    <row r="143" ht="36.0" customHeight="1">
      <c r="A143" s="51" t="s">
        <v>400</v>
      </c>
      <c r="B143" s="62" t="str">
        <f>VLOOKUP(A143,'HECVAT - Full'!A$24:B$312,2,FALSE)</f>
        <v>Are data backups encrypted?</v>
      </c>
      <c r="C143" s="63" t="s">
        <v>817</v>
      </c>
      <c r="D143" s="127"/>
      <c r="E143" s="126" t="s">
        <v>960</v>
      </c>
      <c r="F143" s="63" t="s">
        <v>967</v>
      </c>
      <c r="G143" s="63" t="s">
        <v>964</v>
      </c>
      <c r="H143" s="126" t="s">
        <v>965</v>
      </c>
      <c r="I143" s="127"/>
      <c r="J143" s="99"/>
      <c r="K143" s="100"/>
      <c r="L143" s="100"/>
      <c r="M143" s="100"/>
      <c r="N143" s="100"/>
      <c r="O143" s="100"/>
      <c r="P143" s="100"/>
      <c r="Q143" s="100"/>
      <c r="R143" s="100"/>
      <c r="S143" s="100"/>
      <c r="T143" s="100"/>
      <c r="U143" s="100"/>
      <c r="V143" s="100"/>
      <c r="W143" s="100"/>
      <c r="X143" s="100"/>
      <c r="Y143" s="100"/>
      <c r="Z143" s="100"/>
      <c r="AA143" s="100"/>
      <c r="AB143" s="100"/>
      <c r="AC143" s="100"/>
    </row>
    <row r="144" ht="72.0" customHeight="1">
      <c r="A144" s="51" t="s">
        <v>403</v>
      </c>
      <c r="B144" s="62" t="str">
        <f>VLOOKUP(A144,'HECVAT - Full'!A$24:B$312,2,FALSE)</f>
        <v>Do you have a cryptographic key management process (generation, exchange, storage, safeguards, use, vetting, and replacement), that is documented and currently implemented, for all system components? (e.g. database, system, web, etc.)</v>
      </c>
      <c r="C144" s="63" t="s">
        <v>817</v>
      </c>
      <c r="D144" s="127"/>
      <c r="E144" s="126" t="s">
        <v>968</v>
      </c>
      <c r="F144" s="128"/>
      <c r="G144" s="63" t="s">
        <v>969</v>
      </c>
      <c r="H144" s="126" t="s">
        <v>970</v>
      </c>
      <c r="I144" s="127"/>
      <c r="J144" s="99"/>
      <c r="K144" s="100"/>
      <c r="L144" s="100"/>
      <c r="M144" s="100"/>
      <c r="N144" s="100"/>
      <c r="O144" s="100"/>
      <c r="P144" s="100"/>
      <c r="Q144" s="100"/>
      <c r="R144" s="100"/>
      <c r="S144" s="100"/>
      <c r="T144" s="100"/>
      <c r="U144" s="100"/>
      <c r="V144" s="100"/>
      <c r="W144" s="100"/>
      <c r="X144" s="100"/>
      <c r="Y144" s="100"/>
      <c r="Z144" s="100"/>
      <c r="AA144" s="100"/>
      <c r="AB144" s="100"/>
      <c r="AC144" s="100"/>
    </row>
    <row r="145" ht="48.0" customHeight="1">
      <c r="A145" s="51" t="s">
        <v>406</v>
      </c>
      <c r="B145" s="62" t="str">
        <f>VLOOKUP(A145,'HECVAT - Full'!A$24:B$312,2,FALSE)</f>
        <v>Do current backups include all operating system software, utilities, security software, application software, and data files necessary for recovery?</v>
      </c>
      <c r="C145" s="63" t="s">
        <v>817</v>
      </c>
      <c r="D145" s="127"/>
      <c r="E145" s="126" t="s">
        <v>960</v>
      </c>
      <c r="F145" s="63" t="s">
        <v>971</v>
      </c>
      <c r="G145" s="63" t="s">
        <v>964</v>
      </c>
      <c r="H145" s="126" t="s">
        <v>965</v>
      </c>
      <c r="I145" s="127"/>
      <c r="J145" s="99"/>
      <c r="K145" s="100"/>
      <c r="L145" s="100"/>
      <c r="M145" s="100"/>
      <c r="N145" s="100"/>
      <c r="O145" s="100"/>
      <c r="P145" s="100"/>
      <c r="Q145" s="100"/>
      <c r="R145" s="100"/>
      <c r="S145" s="100"/>
      <c r="T145" s="100"/>
      <c r="U145" s="100"/>
      <c r="V145" s="100"/>
      <c r="W145" s="100"/>
      <c r="X145" s="100"/>
      <c r="Y145" s="100"/>
      <c r="Z145" s="100"/>
      <c r="AA145" s="100"/>
      <c r="AB145" s="100"/>
      <c r="AC145" s="100"/>
    </row>
    <row r="146" ht="36.0" customHeight="1">
      <c r="A146" s="51" t="s">
        <v>408</v>
      </c>
      <c r="B146" s="62" t="str">
        <f>VLOOKUP(A146,'HECVAT - Full'!A$24:B$312,2,FALSE)</f>
        <v>Are you performing off site backups? (i.e. digitally moved off site)</v>
      </c>
      <c r="C146" s="63" t="s">
        <v>817</v>
      </c>
      <c r="D146" s="127"/>
      <c r="E146" s="126" t="s">
        <v>960</v>
      </c>
      <c r="F146" s="63" t="s">
        <v>963</v>
      </c>
      <c r="G146" s="63" t="s">
        <v>972</v>
      </c>
      <c r="H146" s="126" t="s">
        <v>965</v>
      </c>
      <c r="I146" s="126" t="s">
        <v>966</v>
      </c>
      <c r="J146" s="99"/>
      <c r="K146" s="100"/>
      <c r="L146" s="100"/>
      <c r="M146" s="100"/>
      <c r="N146" s="100"/>
      <c r="O146" s="100"/>
      <c r="P146" s="100"/>
      <c r="Q146" s="100"/>
      <c r="R146" s="100"/>
      <c r="S146" s="100"/>
      <c r="T146" s="100"/>
      <c r="U146" s="100"/>
      <c r="V146" s="100"/>
      <c r="W146" s="100"/>
      <c r="X146" s="100"/>
      <c r="Y146" s="100"/>
      <c r="Z146" s="100"/>
      <c r="AA146" s="100"/>
      <c r="AB146" s="100"/>
      <c r="AC146" s="100"/>
    </row>
    <row r="147" ht="48.0" customHeight="1">
      <c r="A147" s="51" t="s">
        <v>410</v>
      </c>
      <c r="B147" s="62" t="str">
        <f>VLOOKUP(A147,'HECVAT - Full'!A$24:B$312,2,FALSE)</f>
        <v>Are physical backups taken off site? (i.e. physically moved off site)</v>
      </c>
      <c r="C147" s="63" t="s">
        <v>817</v>
      </c>
      <c r="D147" s="127"/>
      <c r="E147" s="126" t="s">
        <v>960</v>
      </c>
      <c r="F147" s="63" t="s">
        <v>963</v>
      </c>
      <c r="G147" s="63" t="s">
        <v>973</v>
      </c>
      <c r="H147" s="126" t="s">
        <v>974</v>
      </c>
      <c r="I147" s="126" t="s">
        <v>966</v>
      </c>
      <c r="J147" s="99"/>
      <c r="K147" s="100"/>
      <c r="L147" s="100"/>
      <c r="M147" s="100"/>
      <c r="N147" s="100"/>
      <c r="O147" s="100"/>
      <c r="P147" s="100"/>
      <c r="Q147" s="100"/>
      <c r="R147" s="100"/>
      <c r="S147" s="100"/>
      <c r="T147" s="100"/>
      <c r="U147" s="100"/>
      <c r="V147" s="100"/>
      <c r="W147" s="100"/>
      <c r="X147" s="100"/>
      <c r="Y147" s="100"/>
      <c r="Z147" s="100"/>
      <c r="AA147" s="100"/>
      <c r="AB147" s="100"/>
      <c r="AC147" s="100"/>
    </row>
    <row r="148" ht="48.0" customHeight="1">
      <c r="A148" s="51" t="s">
        <v>413</v>
      </c>
      <c r="B148" s="62" t="str">
        <f>VLOOKUP(A148,'HECVAT - Full'!A$24:B$312,2,FALSE)</f>
        <v>Do backups containing the institution's data ever leave the Institution's Data Zone either physically or via network routing?</v>
      </c>
      <c r="C148" s="63" t="s">
        <v>809</v>
      </c>
      <c r="D148" s="127"/>
      <c r="E148" s="126" t="s">
        <v>960</v>
      </c>
      <c r="F148" s="128"/>
      <c r="G148" s="63" t="s">
        <v>964</v>
      </c>
      <c r="H148" s="126" t="s">
        <v>974</v>
      </c>
      <c r="I148" s="130">
        <v>12.8</v>
      </c>
      <c r="J148" s="99"/>
      <c r="K148" s="100"/>
      <c r="L148" s="100"/>
      <c r="M148" s="100"/>
      <c r="N148" s="100"/>
      <c r="O148" s="100"/>
      <c r="P148" s="100"/>
      <c r="Q148" s="100"/>
      <c r="R148" s="100"/>
      <c r="S148" s="100"/>
      <c r="T148" s="100"/>
      <c r="U148" s="100"/>
      <c r="V148" s="100"/>
      <c r="W148" s="100"/>
      <c r="X148" s="100"/>
      <c r="Y148" s="100"/>
      <c r="Z148" s="100"/>
      <c r="AA148" s="100"/>
      <c r="AB148" s="100"/>
      <c r="AC148" s="100"/>
    </row>
    <row r="149" ht="72.75" customHeight="1">
      <c r="A149" s="51" t="s">
        <v>415</v>
      </c>
      <c r="B149" s="62" t="str">
        <f>VLOOKUP(A149,'HECVAT - Full'!A$24:B$312,2,FALSE)</f>
        <v>Do you have a media handling process, that is documented and currently implemented, including end-of-life, repurposing, and data sanitization procedures?</v>
      </c>
      <c r="C149" s="63" t="s">
        <v>809</v>
      </c>
      <c r="D149" s="127"/>
      <c r="E149" s="126" t="s">
        <v>975</v>
      </c>
      <c r="F149" s="63" t="s">
        <v>976</v>
      </c>
      <c r="G149" s="63" t="s">
        <v>977</v>
      </c>
      <c r="H149" s="126" t="s">
        <v>978</v>
      </c>
      <c r="I149" s="126" t="s">
        <v>966</v>
      </c>
      <c r="J149" s="99"/>
      <c r="K149" s="100"/>
      <c r="L149" s="100"/>
      <c r="M149" s="100"/>
      <c r="N149" s="100"/>
      <c r="O149" s="100"/>
      <c r="P149" s="100"/>
      <c r="Q149" s="100"/>
      <c r="R149" s="100"/>
      <c r="S149" s="100"/>
      <c r="T149" s="100"/>
      <c r="U149" s="100"/>
      <c r="V149" s="100"/>
      <c r="W149" s="100"/>
      <c r="X149" s="100"/>
      <c r="Y149" s="100"/>
      <c r="Z149" s="100"/>
      <c r="AA149" s="100"/>
      <c r="AB149" s="100"/>
      <c r="AC149" s="100"/>
    </row>
    <row r="150" ht="36.0" customHeight="1">
      <c r="A150" s="51" t="s">
        <v>418</v>
      </c>
      <c r="B150" s="62" t="str">
        <f>VLOOKUP(A150,'HECVAT - Full'!A$24:B$312,2,FALSE)</f>
        <v>Does the process described in DATA-23 adhere to DoD 5220.22-M and/or NIST SP 800-88 standards?</v>
      </c>
      <c r="C150" s="63" t="s">
        <v>809</v>
      </c>
      <c r="D150" s="127"/>
      <c r="E150" s="126" t="s">
        <v>979</v>
      </c>
      <c r="F150" s="63" t="s">
        <v>976</v>
      </c>
      <c r="G150" s="63" t="s">
        <v>980</v>
      </c>
      <c r="H150" s="126" t="s">
        <v>981</v>
      </c>
      <c r="I150" s="127"/>
      <c r="J150" s="99"/>
      <c r="K150" s="100"/>
      <c r="L150" s="100"/>
      <c r="M150" s="100"/>
      <c r="N150" s="100"/>
      <c r="O150" s="100"/>
      <c r="P150" s="100"/>
      <c r="Q150" s="100"/>
      <c r="R150" s="100"/>
      <c r="S150" s="100"/>
      <c r="T150" s="100"/>
      <c r="U150" s="100"/>
      <c r="V150" s="100"/>
      <c r="W150" s="100"/>
      <c r="X150" s="100"/>
      <c r="Y150" s="100"/>
      <c r="Z150" s="100"/>
      <c r="AA150" s="100"/>
      <c r="AB150" s="100"/>
      <c r="AC150" s="100"/>
    </row>
    <row r="151" ht="48.0" customHeight="1">
      <c r="A151" s="51" t="s">
        <v>420</v>
      </c>
      <c r="B151" s="62" t="str">
        <f>VLOOKUP(A151,'HECVAT - Full'!A$24:B$312,2,FALSE)</f>
        <v>Do procedures exist to ensure that retention and destruction of data meets established business and regulatory requirements?</v>
      </c>
      <c r="C151" s="63" t="s">
        <v>809</v>
      </c>
      <c r="D151" s="127"/>
      <c r="E151" s="126" t="s">
        <v>979</v>
      </c>
      <c r="F151" s="63" t="s">
        <v>982</v>
      </c>
      <c r="G151" s="63" t="s">
        <v>980</v>
      </c>
      <c r="H151" s="126" t="s">
        <v>983</v>
      </c>
      <c r="I151" s="127"/>
      <c r="J151" s="99"/>
      <c r="K151" s="100"/>
      <c r="L151" s="100"/>
      <c r="M151" s="100"/>
      <c r="N151" s="100"/>
      <c r="O151" s="100"/>
      <c r="P151" s="100"/>
      <c r="Q151" s="100"/>
      <c r="R151" s="100"/>
      <c r="S151" s="100"/>
      <c r="T151" s="100"/>
      <c r="U151" s="100"/>
      <c r="V151" s="100"/>
      <c r="W151" s="100"/>
      <c r="X151" s="100"/>
      <c r="Y151" s="100"/>
      <c r="Z151" s="100"/>
      <c r="AA151" s="100"/>
      <c r="AB151" s="100"/>
      <c r="AC151" s="100"/>
    </row>
    <row r="152" ht="48.0" customHeight="1">
      <c r="A152" s="51" t="s">
        <v>423</v>
      </c>
      <c r="B152" s="62" t="str">
        <f>VLOOKUP(A152,'HECVAT - Full'!A$24:B$312,2,FALSE)</f>
        <v>Is media used for long-term retention of business data and archival purposes stored in a secure, environmentally protected area?</v>
      </c>
      <c r="C152" s="63" t="s">
        <v>809</v>
      </c>
      <c r="D152" s="127"/>
      <c r="E152" s="126" t="s">
        <v>979</v>
      </c>
      <c r="F152" s="63" t="s">
        <v>976</v>
      </c>
      <c r="G152" s="63" t="s">
        <v>984</v>
      </c>
      <c r="H152" s="126" t="s">
        <v>985</v>
      </c>
      <c r="I152" s="126" t="s">
        <v>946</v>
      </c>
      <c r="J152" s="99"/>
      <c r="K152" s="100"/>
      <c r="L152" s="100"/>
      <c r="M152" s="100"/>
      <c r="N152" s="100"/>
      <c r="O152" s="100"/>
      <c r="P152" s="100"/>
      <c r="Q152" s="100"/>
      <c r="R152" s="100"/>
      <c r="S152" s="100"/>
      <c r="T152" s="100"/>
      <c r="U152" s="100"/>
      <c r="V152" s="100"/>
      <c r="W152" s="100"/>
      <c r="X152" s="100"/>
      <c r="Y152" s="100"/>
      <c r="Z152" s="100"/>
      <c r="AA152" s="100"/>
      <c r="AB152" s="100"/>
      <c r="AC152" s="100"/>
    </row>
    <row r="153" ht="36.0" customHeight="1">
      <c r="A153" s="51" t="s">
        <v>425</v>
      </c>
      <c r="B153" s="62" t="str">
        <f>VLOOKUP(A153,'HECVAT - Full'!A$24:B$312,2,FALSE)</f>
        <v>Will you handle data in a FERPA compliant manner?</v>
      </c>
      <c r="C153" s="63" t="s">
        <v>809</v>
      </c>
      <c r="D153" s="127"/>
      <c r="E153" s="126" t="s">
        <v>811</v>
      </c>
      <c r="F153" s="63" t="s">
        <v>812</v>
      </c>
      <c r="G153" s="129"/>
      <c r="H153" s="127"/>
      <c r="I153" s="127"/>
      <c r="J153" s="99"/>
      <c r="K153" s="100"/>
      <c r="L153" s="100"/>
      <c r="M153" s="100"/>
      <c r="N153" s="100"/>
      <c r="O153" s="100"/>
      <c r="P153" s="100"/>
      <c r="Q153" s="100"/>
      <c r="R153" s="100"/>
      <c r="S153" s="100"/>
      <c r="T153" s="100"/>
      <c r="U153" s="100"/>
      <c r="V153" s="100"/>
      <c r="W153" s="100"/>
      <c r="X153" s="100"/>
      <c r="Y153" s="100"/>
      <c r="Z153" s="100"/>
      <c r="AA153" s="100"/>
      <c r="AB153" s="100"/>
      <c r="AC153" s="100"/>
    </row>
    <row r="154" ht="36.0" customHeight="1">
      <c r="A154" s="51" t="s">
        <v>428</v>
      </c>
      <c r="B154" s="62" t="str">
        <f>VLOOKUP(A154,'HECVAT - Full'!A$24:B$312,2,FALSE)</f>
        <v>Is any institution data visible in system administration modules/tools?</v>
      </c>
      <c r="C154" s="63" t="s">
        <v>986</v>
      </c>
      <c r="D154" s="127"/>
      <c r="E154" s="126" t="s">
        <v>987</v>
      </c>
      <c r="F154" s="63" t="s">
        <v>881</v>
      </c>
      <c r="G154" s="129"/>
      <c r="H154" s="127"/>
      <c r="I154" s="127"/>
      <c r="J154" s="99"/>
      <c r="K154" s="100"/>
      <c r="L154" s="100"/>
      <c r="M154" s="100"/>
      <c r="N154" s="100"/>
      <c r="O154" s="100"/>
      <c r="P154" s="100"/>
      <c r="Q154" s="100"/>
      <c r="R154" s="100"/>
      <c r="S154" s="100"/>
      <c r="T154" s="100"/>
      <c r="U154" s="100"/>
      <c r="V154" s="100"/>
      <c r="W154" s="100"/>
      <c r="X154" s="100"/>
      <c r="Y154" s="100"/>
      <c r="Z154" s="100"/>
      <c r="AA154" s="100"/>
      <c r="AB154" s="100"/>
      <c r="AC154" s="100"/>
    </row>
    <row r="155" ht="36.0" customHeight="1">
      <c r="A155" s="45" t="str">
        <f>IF($C$30="","Database",IF($C$30="Yes","Database - Optional based on QUALIFIER response.","Database"))</f>
        <v>Database</v>
      </c>
      <c r="B155" s="14"/>
      <c r="C155" s="60" t="str">
        <f>$C$22</f>
        <v>CIS Critical Security Controls v6.1</v>
      </c>
      <c r="D155" s="60" t="str">
        <f>$D$22</f>
        <v>HIPAA</v>
      </c>
      <c r="E155" s="60" t="str">
        <f>$E$22</f>
        <v>ISO 27002:2013</v>
      </c>
      <c r="F155" s="60" t="str">
        <f>$F$22</f>
        <v>NIST Cybersecurity Framework</v>
      </c>
      <c r="G155" s="60" t="str">
        <f>$G$22</f>
        <v>NIST SP 800-171r1</v>
      </c>
      <c r="H155" s="60" t="str">
        <f>$H$22</f>
        <v>NIST SP 800-53r4</v>
      </c>
      <c r="I155" s="60" t="s">
        <v>808</v>
      </c>
      <c r="J155" s="99"/>
      <c r="K155" s="100"/>
      <c r="L155" s="100"/>
      <c r="M155" s="100"/>
      <c r="N155" s="100"/>
      <c r="O155" s="100"/>
      <c r="P155" s="100"/>
      <c r="Q155" s="100"/>
      <c r="R155" s="100"/>
      <c r="S155" s="100"/>
      <c r="T155" s="100"/>
      <c r="U155" s="100"/>
      <c r="V155" s="100"/>
      <c r="W155" s="100"/>
      <c r="X155" s="100"/>
      <c r="Y155" s="100"/>
      <c r="Z155" s="100"/>
      <c r="AA155" s="100"/>
      <c r="AB155" s="100"/>
      <c r="AC155" s="100"/>
    </row>
    <row r="156" ht="36.0" customHeight="1">
      <c r="A156" s="51" t="s">
        <v>430</v>
      </c>
      <c r="B156" s="62" t="str">
        <f>VLOOKUP(A156,'HECVAT - Full'!A$24:B$312,2,FALSE)</f>
        <v>Does the database support encryption of specified data elements in storage?</v>
      </c>
      <c r="C156" s="63" t="s">
        <v>809</v>
      </c>
      <c r="D156" s="128"/>
      <c r="E156" s="126" t="s">
        <v>947</v>
      </c>
      <c r="F156" s="63" t="s">
        <v>951</v>
      </c>
      <c r="G156" s="129"/>
      <c r="H156" s="136"/>
      <c r="I156" s="128"/>
      <c r="J156" s="99"/>
      <c r="K156" s="100"/>
      <c r="L156" s="100"/>
      <c r="M156" s="100"/>
      <c r="N156" s="100"/>
      <c r="O156" s="100"/>
      <c r="P156" s="100"/>
      <c r="Q156" s="100"/>
      <c r="R156" s="100"/>
      <c r="S156" s="100"/>
      <c r="T156" s="100"/>
      <c r="U156" s="100"/>
      <c r="V156" s="100"/>
      <c r="W156" s="100"/>
      <c r="X156" s="100"/>
      <c r="Y156" s="100"/>
      <c r="Z156" s="100"/>
      <c r="AA156" s="100"/>
      <c r="AB156" s="100"/>
      <c r="AC156" s="100"/>
    </row>
    <row r="157" ht="36.75" customHeight="1">
      <c r="A157" s="51" t="s">
        <v>433</v>
      </c>
      <c r="B157" s="62" t="str">
        <f>VLOOKUP(A157,'HECVAT - Full'!A$24:B$312,2,FALSE)</f>
        <v>Do you currently use encryption in your database(s)?</v>
      </c>
      <c r="C157" s="63" t="s">
        <v>809</v>
      </c>
      <c r="D157" s="128"/>
      <c r="E157" s="126" t="s">
        <v>947</v>
      </c>
      <c r="F157" s="63" t="s">
        <v>988</v>
      </c>
      <c r="G157" s="129"/>
      <c r="H157" s="136"/>
      <c r="I157" s="128"/>
      <c r="J157" s="99"/>
      <c r="K157" s="100"/>
      <c r="L157" s="100"/>
      <c r="M157" s="100"/>
      <c r="N157" s="100"/>
      <c r="O157" s="100"/>
      <c r="P157" s="100"/>
      <c r="Q157" s="100"/>
      <c r="R157" s="100"/>
      <c r="S157" s="100"/>
      <c r="T157" s="100"/>
      <c r="U157" s="100"/>
      <c r="V157" s="100"/>
      <c r="W157" s="100"/>
      <c r="X157" s="100"/>
      <c r="Y157" s="100"/>
      <c r="Z157" s="100"/>
      <c r="AA157" s="100"/>
      <c r="AB157" s="100"/>
      <c r="AC157" s="100"/>
    </row>
    <row r="158" ht="36.0" customHeight="1">
      <c r="A158" s="45" t="str">
        <f>IF($C$30="","Datacenter",IF($C$30="Yes","Datacenter - Optional based on QUALIFIER response.","Datacenter"))</f>
        <v>Datacenter</v>
      </c>
      <c r="B158" s="14"/>
      <c r="C158" s="60" t="str">
        <f>$C$22</f>
        <v>CIS Critical Security Controls v6.1</v>
      </c>
      <c r="D158" s="60" t="str">
        <f>$D$22</f>
        <v>HIPAA</v>
      </c>
      <c r="E158" s="60" t="str">
        <f>$E$22</f>
        <v>ISO 27002:2013</v>
      </c>
      <c r="F158" s="60" t="str">
        <f>$F$22</f>
        <v>NIST Cybersecurity Framework</v>
      </c>
      <c r="G158" s="60" t="str">
        <f>$G$22</f>
        <v>NIST SP 800-171r1</v>
      </c>
      <c r="H158" s="60" t="str">
        <f>$H$22</f>
        <v>NIST SP 800-53r4</v>
      </c>
      <c r="I158" s="60" t="s">
        <v>808</v>
      </c>
      <c r="J158" s="99"/>
      <c r="K158" s="100"/>
      <c r="L158" s="100"/>
      <c r="M158" s="100"/>
      <c r="N158" s="100"/>
      <c r="O158" s="100"/>
      <c r="P158" s="100"/>
      <c r="Q158" s="100"/>
      <c r="R158" s="100"/>
      <c r="S158" s="100"/>
      <c r="T158" s="100"/>
      <c r="U158" s="100"/>
      <c r="V158" s="100"/>
      <c r="W158" s="100"/>
      <c r="X158" s="100"/>
      <c r="Y158" s="100"/>
      <c r="Z158" s="100"/>
      <c r="AA158" s="100"/>
      <c r="AB158" s="100"/>
      <c r="AC158" s="100"/>
    </row>
    <row r="159" ht="48.75" customHeight="1">
      <c r="A159" s="51" t="s">
        <v>435</v>
      </c>
      <c r="B159" s="62" t="str">
        <f>VLOOKUP(A159,'HECVAT - Full'!A$24:B$312,2,FALSE)</f>
        <v>Does your company own the physical data center where the Institution's data will reside?</v>
      </c>
      <c r="C159" s="63" t="s">
        <v>823</v>
      </c>
      <c r="D159" s="128"/>
      <c r="E159" s="126" t="s">
        <v>989</v>
      </c>
      <c r="F159" s="63" t="s">
        <v>941</v>
      </c>
      <c r="G159" s="129"/>
      <c r="H159" s="136"/>
      <c r="I159" s="126" t="s">
        <v>946</v>
      </c>
      <c r="J159" s="99"/>
      <c r="K159" s="100"/>
      <c r="L159" s="100"/>
      <c r="M159" s="100"/>
      <c r="N159" s="100"/>
      <c r="O159" s="100"/>
      <c r="P159" s="100"/>
      <c r="Q159" s="100"/>
      <c r="R159" s="100"/>
      <c r="S159" s="100"/>
      <c r="T159" s="100"/>
      <c r="U159" s="100"/>
      <c r="V159" s="100"/>
      <c r="W159" s="100"/>
      <c r="X159" s="100"/>
      <c r="Y159" s="100"/>
      <c r="Z159" s="100"/>
      <c r="AA159" s="100"/>
      <c r="AB159" s="100"/>
      <c r="AC159" s="100"/>
    </row>
    <row r="160" ht="48.0" customHeight="1">
      <c r="A160" s="51" t="s">
        <v>437</v>
      </c>
      <c r="B160" s="62" t="str">
        <f>VLOOKUP(A160,'HECVAT - Full'!A$24:B$312,2,FALSE)</f>
        <v>Does the hosting provider have a SOC 2 Type 2 report available?</v>
      </c>
      <c r="C160" s="63" t="s">
        <v>809</v>
      </c>
      <c r="D160" s="128"/>
      <c r="E160" s="126" t="s">
        <v>989</v>
      </c>
      <c r="F160" s="128"/>
      <c r="G160" s="129"/>
      <c r="H160" s="136"/>
      <c r="I160" s="128"/>
      <c r="J160" s="99"/>
      <c r="K160" s="100"/>
      <c r="L160" s="100"/>
      <c r="M160" s="100"/>
      <c r="N160" s="100"/>
      <c r="O160" s="100"/>
      <c r="P160" s="100"/>
      <c r="Q160" s="100"/>
      <c r="R160" s="100"/>
      <c r="S160" s="100"/>
      <c r="T160" s="100"/>
      <c r="U160" s="100"/>
      <c r="V160" s="100"/>
      <c r="W160" s="100"/>
      <c r="X160" s="100"/>
      <c r="Y160" s="100"/>
      <c r="Z160" s="100"/>
      <c r="AA160" s="100"/>
      <c r="AB160" s="100"/>
      <c r="AC160" s="100"/>
    </row>
    <row r="161" ht="36.0" customHeight="1">
      <c r="A161" s="51" t="s">
        <v>440</v>
      </c>
      <c r="B161" s="62" t="str">
        <f>VLOOKUP(A161,'HECVAT - Full'!A$24:B$312,2,FALSE)</f>
        <v>Are the data centers staffed 24 hours a day, seven days a week (i.e., 24x7x365)?</v>
      </c>
      <c r="C161" s="63" t="s">
        <v>990</v>
      </c>
      <c r="D161" s="128"/>
      <c r="E161" s="126" t="s">
        <v>922</v>
      </c>
      <c r="F161" s="128"/>
      <c r="G161" s="129"/>
      <c r="H161" s="136"/>
      <c r="I161" s="128"/>
      <c r="J161" s="99"/>
      <c r="K161" s="100"/>
      <c r="L161" s="100"/>
      <c r="M161" s="100"/>
      <c r="N161" s="100"/>
      <c r="O161" s="100"/>
      <c r="P161" s="100"/>
      <c r="Q161" s="100"/>
      <c r="R161" s="100"/>
      <c r="S161" s="100"/>
      <c r="T161" s="100"/>
      <c r="U161" s="100"/>
      <c r="V161" s="100"/>
      <c r="W161" s="100"/>
      <c r="X161" s="100"/>
      <c r="Y161" s="100"/>
      <c r="Z161" s="100"/>
      <c r="AA161" s="100"/>
      <c r="AB161" s="100"/>
      <c r="AC161" s="100"/>
    </row>
    <row r="162" ht="46.5" customHeight="1">
      <c r="A162" s="51" t="s">
        <v>442</v>
      </c>
      <c r="B162" s="62" t="str">
        <f>VLOOKUP(A162,'HECVAT - Full'!A$24:B$312,2,FALSE)</f>
        <v>Do any of your servers reside in a co-located data center?</v>
      </c>
      <c r="C162" s="63" t="s">
        <v>991</v>
      </c>
      <c r="D162" s="128"/>
      <c r="E162" s="127"/>
      <c r="F162" s="128"/>
      <c r="G162" s="129"/>
      <c r="H162" s="126" t="s">
        <v>842</v>
      </c>
      <c r="I162" s="130">
        <v>12.8</v>
      </c>
      <c r="J162" s="99"/>
      <c r="K162" s="100"/>
      <c r="L162" s="100"/>
      <c r="M162" s="100"/>
      <c r="N162" s="100"/>
      <c r="O162" s="100"/>
      <c r="P162" s="100"/>
      <c r="Q162" s="100"/>
      <c r="R162" s="100"/>
      <c r="S162" s="100"/>
      <c r="T162" s="100"/>
      <c r="U162" s="100"/>
      <c r="V162" s="100"/>
      <c r="W162" s="100"/>
      <c r="X162" s="100"/>
      <c r="Y162" s="100"/>
      <c r="Z162" s="100"/>
      <c r="AA162" s="100"/>
      <c r="AB162" s="100"/>
      <c r="AC162" s="100"/>
    </row>
    <row r="163" ht="46.5" customHeight="1">
      <c r="A163" s="51" t="s">
        <v>445</v>
      </c>
      <c r="B163" s="62" t="str">
        <f>VLOOKUP(A163,'HECVAT - Full'!A$24:B$312,2,FALSE)</f>
        <v>Are your servers separated from other companies via a physical barrier, such as a cage or hardened walls?</v>
      </c>
      <c r="C163" s="63" t="s">
        <v>991</v>
      </c>
      <c r="D163" s="128"/>
      <c r="E163" s="126" t="s">
        <v>992</v>
      </c>
      <c r="F163" s="63" t="s">
        <v>993</v>
      </c>
      <c r="G163" s="129"/>
      <c r="H163" s="136"/>
      <c r="I163" s="126" t="s">
        <v>966</v>
      </c>
      <c r="J163" s="99"/>
      <c r="K163" s="100"/>
      <c r="L163" s="100"/>
      <c r="M163" s="100"/>
      <c r="N163" s="100"/>
      <c r="O163" s="100"/>
      <c r="P163" s="100"/>
      <c r="Q163" s="100"/>
      <c r="R163" s="100"/>
      <c r="S163" s="100"/>
      <c r="T163" s="100"/>
      <c r="U163" s="100"/>
      <c r="V163" s="100"/>
      <c r="W163" s="100"/>
      <c r="X163" s="100"/>
      <c r="Y163" s="100"/>
      <c r="Z163" s="100"/>
      <c r="AA163" s="100"/>
      <c r="AB163" s="100"/>
      <c r="AC163" s="100"/>
    </row>
    <row r="164" ht="48.0" customHeight="1">
      <c r="A164" s="51" t="s">
        <v>447</v>
      </c>
      <c r="B164" s="62" t="str">
        <f>VLOOKUP(A164,'HECVAT - Full'!A$24:B$312,2,FALSE)</f>
        <v>Does a physical barrier fully enclose the physical space preventing unauthorized physical contact with any of your devices?</v>
      </c>
      <c r="C164" s="63" t="s">
        <v>823</v>
      </c>
      <c r="D164" s="128"/>
      <c r="E164" s="126" t="s">
        <v>994</v>
      </c>
      <c r="F164" s="63" t="s">
        <v>993</v>
      </c>
      <c r="G164" s="63" t="s">
        <v>984</v>
      </c>
      <c r="H164" s="136"/>
      <c r="I164" s="126" t="s">
        <v>966</v>
      </c>
      <c r="J164" s="99"/>
      <c r="K164" s="100"/>
      <c r="L164" s="100"/>
      <c r="M164" s="100"/>
      <c r="N164" s="100"/>
      <c r="O164" s="100"/>
      <c r="P164" s="100"/>
      <c r="Q164" s="100"/>
      <c r="R164" s="100"/>
      <c r="S164" s="100"/>
      <c r="T164" s="100"/>
      <c r="U164" s="100"/>
      <c r="V164" s="100"/>
      <c r="W164" s="100"/>
      <c r="X164" s="100"/>
      <c r="Y164" s="100"/>
      <c r="Z164" s="100"/>
      <c r="AA164" s="100"/>
      <c r="AB164" s="100"/>
      <c r="AC164" s="100"/>
    </row>
    <row r="165" ht="46.5" customHeight="1">
      <c r="A165" s="51" t="s">
        <v>450</v>
      </c>
      <c r="B165" s="62" t="str">
        <f>VLOOKUP(A165,'HECVAT - Full'!A$24:B$312,2,FALSE)</f>
        <v>Select the option that best describes the network segment that servers are connected to.</v>
      </c>
      <c r="C165" s="63" t="s">
        <v>995</v>
      </c>
      <c r="D165" s="128"/>
      <c r="E165" s="127"/>
      <c r="F165" s="63" t="s">
        <v>996</v>
      </c>
      <c r="G165" s="63" t="s">
        <v>997</v>
      </c>
      <c r="H165" s="136"/>
      <c r="I165" s="128"/>
      <c r="J165" s="99"/>
      <c r="K165" s="100"/>
      <c r="L165" s="100"/>
      <c r="M165" s="100"/>
      <c r="N165" s="100"/>
      <c r="O165" s="100"/>
      <c r="P165" s="100"/>
      <c r="Q165" s="100"/>
      <c r="R165" s="100"/>
      <c r="S165" s="100"/>
      <c r="T165" s="100"/>
      <c r="U165" s="100"/>
      <c r="V165" s="100"/>
      <c r="W165" s="100"/>
      <c r="X165" s="100"/>
      <c r="Y165" s="100"/>
      <c r="Z165" s="100"/>
      <c r="AA165" s="100"/>
      <c r="AB165" s="100"/>
      <c r="AC165" s="100"/>
    </row>
    <row r="166" ht="36.0" customHeight="1">
      <c r="A166" s="51" t="s">
        <v>454</v>
      </c>
      <c r="B166" s="62" t="str">
        <f>VLOOKUP(A166,'HECVAT - Full'!A$24:B$312,2,FALSE)</f>
        <v>Does this data center operate outside of the Institution's Data Zone?</v>
      </c>
      <c r="C166" s="63" t="s">
        <v>860</v>
      </c>
      <c r="D166" s="128"/>
      <c r="E166" s="126" t="s">
        <v>811</v>
      </c>
      <c r="F166" s="128"/>
      <c r="G166" s="129"/>
      <c r="H166" s="136"/>
      <c r="I166" s="130">
        <v>12.8</v>
      </c>
      <c r="J166" s="99"/>
      <c r="K166" s="100"/>
      <c r="L166" s="100"/>
      <c r="M166" s="100"/>
      <c r="N166" s="100"/>
      <c r="O166" s="100"/>
      <c r="P166" s="100"/>
      <c r="Q166" s="100"/>
      <c r="R166" s="100"/>
      <c r="S166" s="100"/>
      <c r="T166" s="100"/>
      <c r="U166" s="100"/>
      <c r="V166" s="100"/>
      <c r="W166" s="100"/>
      <c r="X166" s="100"/>
      <c r="Y166" s="100"/>
      <c r="Z166" s="100"/>
      <c r="AA166" s="100"/>
      <c r="AB166" s="100"/>
      <c r="AC166" s="100"/>
    </row>
    <row r="167" ht="36.0" customHeight="1">
      <c r="A167" s="51" t="s">
        <v>456</v>
      </c>
      <c r="B167" s="62" t="str">
        <f>VLOOKUP(A167,'HECVAT - Full'!A$24:B$312,2,FALSE)</f>
        <v>Will any institution data leave the Institution's Data Zone?</v>
      </c>
      <c r="C167" s="63" t="s">
        <v>860</v>
      </c>
      <c r="D167" s="128"/>
      <c r="E167" s="126" t="s">
        <v>811</v>
      </c>
      <c r="F167" s="128"/>
      <c r="G167" s="129"/>
      <c r="H167" s="136"/>
      <c r="I167" s="130">
        <v>12.9</v>
      </c>
      <c r="J167" s="99"/>
      <c r="K167" s="100"/>
      <c r="L167" s="100"/>
      <c r="M167" s="100"/>
      <c r="N167" s="100"/>
      <c r="O167" s="100"/>
      <c r="P167" s="100"/>
      <c r="Q167" s="100"/>
      <c r="R167" s="100"/>
      <c r="S167" s="100"/>
      <c r="T167" s="100"/>
      <c r="U167" s="100"/>
      <c r="V167" s="100"/>
      <c r="W167" s="100"/>
      <c r="X167" s="100"/>
      <c r="Y167" s="100"/>
      <c r="Z167" s="100"/>
      <c r="AA167" s="100"/>
      <c r="AB167" s="100"/>
      <c r="AC167" s="100"/>
    </row>
    <row r="168" ht="63.75" customHeight="1">
      <c r="A168" s="51" t="s">
        <v>458</v>
      </c>
      <c r="B168" s="62" t="str">
        <f>VLOOKUP(A168,'HECVAT - Full'!A$24:B$312,2,FALSE)</f>
        <v>List all datacenters and the cities, states (provinces), and countries where the Institution's data will be stored (including within the Institution's Data Zone).   </v>
      </c>
      <c r="C168" s="63" t="s">
        <v>860</v>
      </c>
      <c r="D168" s="128"/>
      <c r="E168" s="126" t="s">
        <v>998</v>
      </c>
      <c r="F168" s="128"/>
      <c r="G168" s="137"/>
      <c r="H168" s="136"/>
      <c r="I168" s="130">
        <v>12.8</v>
      </c>
      <c r="J168" s="99"/>
      <c r="K168" s="100"/>
      <c r="L168" s="100"/>
      <c r="M168" s="100"/>
      <c r="N168" s="100"/>
      <c r="O168" s="100"/>
      <c r="P168" s="100"/>
      <c r="Q168" s="100"/>
      <c r="R168" s="100"/>
      <c r="S168" s="100"/>
      <c r="T168" s="100"/>
      <c r="U168" s="100"/>
      <c r="V168" s="100"/>
      <c r="W168" s="100"/>
      <c r="X168" s="100"/>
      <c r="Y168" s="100"/>
      <c r="Z168" s="100"/>
      <c r="AA168" s="100"/>
      <c r="AB168" s="100"/>
      <c r="AC168" s="100"/>
    </row>
    <row r="169" ht="52.5" customHeight="1">
      <c r="A169" s="51" t="s">
        <v>462</v>
      </c>
      <c r="B169" s="62" t="str">
        <f>VLOOKUP(A169,'HECVAT - Full'!A$24:B$312,2,FALSE)</f>
        <v>Are your primary and secondary data centers geographically diverse?</v>
      </c>
      <c r="C169" s="63" t="s">
        <v>817</v>
      </c>
      <c r="D169" s="128"/>
      <c r="E169" s="126" t="s">
        <v>999</v>
      </c>
      <c r="F169" s="128"/>
      <c r="G169" s="129"/>
      <c r="H169" s="136"/>
      <c r="I169" s="130">
        <v>12.8</v>
      </c>
      <c r="J169" s="99"/>
      <c r="K169" s="100"/>
      <c r="L169" s="100"/>
      <c r="M169" s="100"/>
      <c r="N169" s="100"/>
      <c r="O169" s="100"/>
      <c r="P169" s="100"/>
      <c r="Q169" s="100"/>
      <c r="R169" s="100"/>
      <c r="S169" s="100"/>
      <c r="T169" s="100"/>
      <c r="U169" s="100"/>
      <c r="V169" s="100"/>
      <c r="W169" s="100"/>
      <c r="X169" s="100"/>
      <c r="Y169" s="100"/>
      <c r="Z169" s="100"/>
      <c r="AA169" s="100"/>
      <c r="AB169" s="100"/>
      <c r="AC169" s="100"/>
    </row>
    <row r="170" ht="36.0" customHeight="1">
      <c r="A170" s="51" t="s">
        <v>465</v>
      </c>
      <c r="B170" s="62" t="str">
        <f>VLOOKUP(A170,'HECVAT - Full'!A$24:B$312,2,FALSE)</f>
        <v>If outsourced or co-located, is there a contract in place to prevent data from leaving the Institution's Data Zone?</v>
      </c>
      <c r="C170" s="63" t="s">
        <v>860</v>
      </c>
      <c r="D170" s="128"/>
      <c r="E170" s="126" t="s">
        <v>811</v>
      </c>
      <c r="F170" s="128"/>
      <c r="G170" s="129"/>
      <c r="H170" s="136"/>
      <c r="I170" s="130">
        <v>12.8</v>
      </c>
      <c r="J170" s="99"/>
      <c r="K170" s="100"/>
      <c r="L170" s="100"/>
      <c r="M170" s="100"/>
      <c r="N170" s="100"/>
      <c r="O170" s="100"/>
      <c r="P170" s="100"/>
      <c r="Q170" s="100"/>
      <c r="R170" s="100"/>
      <c r="S170" s="100"/>
      <c r="T170" s="100"/>
      <c r="U170" s="100"/>
      <c r="V170" s="100"/>
      <c r="W170" s="100"/>
      <c r="X170" s="100"/>
      <c r="Y170" s="100"/>
      <c r="Z170" s="100"/>
      <c r="AA170" s="100"/>
      <c r="AB170" s="100"/>
      <c r="AC170" s="100"/>
    </row>
    <row r="171" ht="36.0" customHeight="1">
      <c r="A171" s="51" t="s">
        <v>468</v>
      </c>
      <c r="B171" s="62" t="str">
        <f>VLOOKUP(A171,'HECVAT - Full'!A$24:B$312,2,FALSE)</f>
        <v>What Tier Level is your data center (per levels defined by the Uptime Institute)?</v>
      </c>
      <c r="C171" s="128"/>
      <c r="D171" s="128"/>
      <c r="E171" s="126" t="s">
        <v>912</v>
      </c>
      <c r="F171" s="128"/>
      <c r="G171" s="129"/>
      <c r="H171" s="136"/>
      <c r="I171" s="128"/>
      <c r="J171" s="99"/>
      <c r="K171" s="100"/>
      <c r="L171" s="100"/>
      <c r="M171" s="100"/>
      <c r="N171" s="100"/>
      <c r="O171" s="100"/>
      <c r="P171" s="100"/>
      <c r="Q171" s="100"/>
      <c r="R171" s="100"/>
      <c r="S171" s="100"/>
      <c r="T171" s="100"/>
      <c r="U171" s="100"/>
      <c r="V171" s="100"/>
      <c r="W171" s="100"/>
      <c r="X171" s="100"/>
      <c r="Y171" s="100"/>
      <c r="Z171" s="100"/>
      <c r="AA171" s="100"/>
      <c r="AB171" s="100"/>
      <c r="AC171" s="100"/>
    </row>
    <row r="172" ht="48.0" customHeight="1">
      <c r="A172" s="51" t="s">
        <v>472</v>
      </c>
      <c r="B172" s="51" t="str">
        <f>VLOOKUP(A172,'HECVAT - Full'!A$24:B$312,2,FALSE)</f>
        <v>Is the service hosted in a high availability environment?</v>
      </c>
      <c r="C172" s="81" t="s">
        <v>817</v>
      </c>
      <c r="D172" s="136"/>
      <c r="E172" s="131" t="s">
        <v>912</v>
      </c>
      <c r="F172" s="81" t="s">
        <v>1000</v>
      </c>
      <c r="G172" s="132"/>
      <c r="H172" s="136"/>
      <c r="I172" s="136"/>
      <c r="J172" s="79"/>
      <c r="K172" s="80"/>
      <c r="L172" s="80"/>
      <c r="M172" s="80"/>
      <c r="N172" s="80"/>
      <c r="O172" s="80"/>
      <c r="P172" s="80"/>
      <c r="Q172" s="80"/>
      <c r="R172" s="80"/>
      <c r="S172" s="80"/>
      <c r="T172" s="80"/>
      <c r="U172" s="80"/>
      <c r="V172" s="80"/>
      <c r="W172" s="80"/>
      <c r="X172" s="80"/>
      <c r="Y172" s="80"/>
      <c r="Z172" s="80"/>
      <c r="AA172" s="80"/>
      <c r="AB172" s="80"/>
      <c r="AC172" s="80"/>
    </row>
    <row r="173" ht="63.75" customHeight="1">
      <c r="A173" s="51" t="s">
        <v>474</v>
      </c>
      <c r="B173" s="62" t="str">
        <f>VLOOKUP(A173,'HECVAT - Full'!A$24:B$312,2,FALSE)</f>
        <v>Is redundant power available for all datacenters where institution data will reside? </v>
      </c>
      <c r="C173" s="128"/>
      <c r="D173" s="128"/>
      <c r="E173" s="126" t="s">
        <v>922</v>
      </c>
      <c r="F173" s="63" t="s">
        <v>1000</v>
      </c>
      <c r="G173" s="129"/>
      <c r="H173" s="136"/>
      <c r="I173" s="128"/>
      <c r="J173" s="99"/>
      <c r="K173" s="100"/>
      <c r="L173" s="100"/>
      <c r="M173" s="100"/>
      <c r="N173" s="100"/>
      <c r="O173" s="100"/>
      <c r="P173" s="100"/>
      <c r="Q173" s="100"/>
      <c r="R173" s="100"/>
      <c r="S173" s="100"/>
      <c r="T173" s="100"/>
      <c r="U173" s="100"/>
      <c r="V173" s="100"/>
      <c r="W173" s="100"/>
      <c r="X173" s="100"/>
      <c r="Y173" s="100"/>
      <c r="Z173" s="100"/>
      <c r="AA173" s="100"/>
      <c r="AB173" s="100"/>
      <c r="AC173" s="100"/>
    </row>
    <row r="174" ht="36.0" customHeight="1">
      <c r="A174" s="51" t="s">
        <v>476</v>
      </c>
      <c r="B174" s="62" t="str">
        <f>VLOOKUP(A174,'HECVAT - Full'!A$24:B$312,2,FALSE)</f>
        <v>Are redundant power strategies tested?</v>
      </c>
      <c r="C174" s="128"/>
      <c r="D174" s="128"/>
      <c r="E174" s="126" t="s">
        <v>917</v>
      </c>
      <c r="F174" s="63" t="s">
        <v>1000</v>
      </c>
      <c r="G174" s="137"/>
      <c r="H174" s="136"/>
      <c r="I174" s="128"/>
      <c r="J174" s="99"/>
      <c r="K174" s="100"/>
      <c r="L174" s="100"/>
      <c r="M174" s="100"/>
      <c r="N174" s="100"/>
      <c r="O174" s="100"/>
      <c r="P174" s="100"/>
      <c r="Q174" s="100"/>
      <c r="R174" s="100"/>
      <c r="S174" s="100"/>
      <c r="T174" s="100"/>
      <c r="U174" s="100"/>
      <c r="V174" s="100"/>
      <c r="W174" s="100"/>
      <c r="X174" s="100"/>
      <c r="Y174" s="100"/>
      <c r="Z174" s="100"/>
      <c r="AA174" s="100"/>
      <c r="AB174" s="100"/>
      <c r="AC174" s="100"/>
    </row>
    <row r="175" ht="48.0" customHeight="1">
      <c r="A175" s="51" t="s">
        <v>478</v>
      </c>
      <c r="B175" s="62" t="str">
        <f>VLOOKUP(A175,'HECVAT - Full'!A$24:B$312,2,FALSE)</f>
        <v>Describe or provide a reference to the availability of cooling and fire suppression systems in all datacenters where institution data will reside.</v>
      </c>
      <c r="C175" s="128"/>
      <c r="D175" s="128"/>
      <c r="E175" s="126" t="s">
        <v>922</v>
      </c>
      <c r="F175" s="128"/>
      <c r="G175" s="137"/>
      <c r="H175" s="126" t="s">
        <v>1001</v>
      </c>
      <c r="I175" s="128"/>
      <c r="J175" s="99"/>
      <c r="K175" s="100"/>
      <c r="L175" s="100"/>
      <c r="M175" s="100"/>
      <c r="N175" s="100"/>
      <c r="O175" s="100"/>
      <c r="P175" s="100"/>
      <c r="Q175" s="100"/>
      <c r="R175" s="100"/>
      <c r="S175" s="100"/>
      <c r="T175" s="100"/>
      <c r="U175" s="100"/>
      <c r="V175" s="100"/>
      <c r="W175" s="100"/>
      <c r="X175" s="100"/>
      <c r="Y175" s="100"/>
      <c r="Z175" s="100"/>
      <c r="AA175" s="100"/>
      <c r="AB175" s="100"/>
      <c r="AC175" s="100"/>
    </row>
    <row r="176" ht="48.0" customHeight="1">
      <c r="A176" s="51" t="s">
        <v>482</v>
      </c>
      <c r="B176" s="62" t="str">
        <f>VLOOKUP(A176,'HECVAT - Full'!A$24:B$312,2,FALSE)</f>
        <v>State how many Internet Service Providers (ISPs) provide connectivity to each datacenter where the institution's data will reside. </v>
      </c>
      <c r="C176" s="63" t="s">
        <v>817</v>
      </c>
      <c r="D176" s="128"/>
      <c r="E176" s="126" t="s">
        <v>922</v>
      </c>
      <c r="F176" s="63" t="s">
        <v>1000</v>
      </c>
      <c r="G176" s="137"/>
      <c r="H176" s="126" t="s">
        <v>1001</v>
      </c>
      <c r="I176" s="130">
        <v>12.8</v>
      </c>
      <c r="J176" s="99"/>
      <c r="K176" s="100"/>
      <c r="L176" s="100"/>
      <c r="M176" s="100"/>
      <c r="N176" s="100"/>
      <c r="O176" s="100"/>
      <c r="P176" s="100"/>
      <c r="Q176" s="100"/>
      <c r="R176" s="100"/>
      <c r="S176" s="100"/>
      <c r="T176" s="100"/>
      <c r="U176" s="100"/>
      <c r="V176" s="100"/>
      <c r="W176" s="100"/>
      <c r="X176" s="100"/>
      <c r="Y176" s="100"/>
      <c r="Z176" s="100"/>
      <c r="AA176" s="100"/>
      <c r="AB176" s="100"/>
      <c r="AC176" s="100"/>
    </row>
    <row r="177" ht="48.0" customHeight="1">
      <c r="A177" s="51" t="s">
        <v>486</v>
      </c>
      <c r="B177" s="62" t="str">
        <f>VLOOKUP(A177,'HECVAT - Full'!A$24:B$312,2,FALSE)</f>
        <v>Does every datacenter where the Institution's data will reside have multiple telephone company or network provider entrances to the facility?</v>
      </c>
      <c r="C177" s="63" t="s">
        <v>809</v>
      </c>
      <c r="D177" s="128"/>
      <c r="E177" s="126" t="s">
        <v>922</v>
      </c>
      <c r="F177" s="63" t="s">
        <v>1000</v>
      </c>
      <c r="G177" s="129"/>
      <c r="H177" s="126" t="s">
        <v>1001</v>
      </c>
      <c r="I177" s="130">
        <v>12.8</v>
      </c>
      <c r="J177" s="99"/>
      <c r="K177" s="100"/>
      <c r="L177" s="100"/>
      <c r="M177" s="100"/>
      <c r="N177" s="100"/>
      <c r="O177" s="100"/>
      <c r="P177" s="100"/>
      <c r="Q177" s="100"/>
      <c r="R177" s="100"/>
      <c r="S177" s="100"/>
      <c r="T177" s="100"/>
      <c r="U177" s="100"/>
      <c r="V177" s="100"/>
      <c r="W177" s="100"/>
      <c r="X177" s="100"/>
      <c r="Y177" s="100"/>
      <c r="Z177" s="100"/>
      <c r="AA177" s="100"/>
      <c r="AB177" s="100"/>
      <c r="AC177" s="100"/>
    </row>
    <row r="178" ht="36.0" customHeight="1">
      <c r="A178" s="45" t="str">
        <f>IF(OR($C$28="No",$C$30="Yes"),"DRP - Optional based on QUALIFIER response.","Disaster Recovery Plan")</f>
        <v>Disaster Recovery Plan</v>
      </c>
      <c r="B178" s="14"/>
      <c r="C178" s="60" t="str">
        <f>$C$22</f>
        <v>CIS Critical Security Controls v6.1</v>
      </c>
      <c r="D178" s="60" t="str">
        <f>$D$22</f>
        <v>HIPAA</v>
      </c>
      <c r="E178" s="60" t="str">
        <f>$E$22</f>
        <v>ISO 27002:2013</v>
      </c>
      <c r="F178" s="60" t="str">
        <f>$F$22</f>
        <v>NIST Cybersecurity Framework</v>
      </c>
      <c r="G178" s="60" t="str">
        <f>$G$22</f>
        <v>NIST SP 800-171r1</v>
      </c>
      <c r="H178" s="60" t="str">
        <f>$H$22</f>
        <v>NIST SP 800-53r4</v>
      </c>
      <c r="I178" s="60" t="s">
        <v>808</v>
      </c>
      <c r="J178" s="99"/>
      <c r="K178" s="100"/>
      <c r="L178" s="100"/>
      <c r="M178" s="100"/>
      <c r="N178" s="100"/>
      <c r="O178" s="100"/>
      <c r="P178" s="100"/>
      <c r="Q178" s="100"/>
      <c r="R178" s="100"/>
      <c r="S178" s="100"/>
      <c r="T178" s="100"/>
      <c r="U178" s="100"/>
      <c r="V178" s="100"/>
      <c r="W178" s="100"/>
      <c r="X178" s="100"/>
      <c r="Y178" s="100"/>
      <c r="Z178" s="100"/>
      <c r="AA178" s="100"/>
      <c r="AB178" s="100"/>
      <c r="AC178" s="100"/>
    </row>
    <row r="179" ht="48.0" customHeight="1">
      <c r="A179" s="51" t="s">
        <v>489</v>
      </c>
      <c r="B179" s="62" t="str">
        <f>VLOOKUP(A179,'HECVAT - Full'!A$24:B$312,2,FALSE)</f>
        <v>Describe or provide a reference to your Disaster Recovery Plan (DRP).</v>
      </c>
      <c r="C179" s="63" t="s">
        <v>817</v>
      </c>
      <c r="D179" s="128"/>
      <c r="E179" s="126" t="s">
        <v>912</v>
      </c>
      <c r="F179" s="63" t="s">
        <v>819</v>
      </c>
      <c r="G179" s="63" t="s">
        <v>913</v>
      </c>
      <c r="H179" s="28" t="s">
        <v>915</v>
      </c>
      <c r="I179" s="66">
        <v>12.8</v>
      </c>
      <c r="J179" s="99"/>
      <c r="K179" s="100"/>
      <c r="L179" s="100"/>
      <c r="M179" s="100"/>
      <c r="N179" s="100"/>
      <c r="O179" s="100"/>
      <c r="P179" s="100"/>
      <c r="Q179" s="100"/>
      <c r="R179" s="100"/>
      <c r="S179" s="100"/>
      <c r="T179" s="100"/>
      <c r="U179" s="100"/>
      <c r="V179" s="100"/>
      <c r="W179" s="100"/>
      <c r="X179" s="100"/>
      <c r="Y179" s="100"/>
      <c r="Z179" s="100"/>
      <c r="AA179" s="100"/>
      <c r="AB179" s="100"/>
      <c r="AC179" s="100"/>
    </row>
    <row r="180" ht="46.5" customHeight="1">
      <c r="A180" s="51" t="s">
        <v>493</v>
      </c>
      <c r="B180" s="62" t="str">
        <f>VLOOKUP(A180,'HECVAT - Full'!A$24:B$312,2,FALSE)</f>
        <v>Is an owner assigned who is responsible for the maintenance and review of the DRP?</v>
      </c>
      <c r="C180" s="63" t="s">
        <v>817</v>
      </c>
      <c r="D180" s="128"/>
      <c r="E180" s="126" t="s">
        <v>1002</v>
      </c>
      <c r="F180" s="63" t="s">
        <v>819</v>
      </c>
      <c r="G180" s="63" t="s">
        <v>913</v>
      </c>
      <c r="H180" s="28" t="s">
        <v>915</v>
      </c>
      <c r="I180" s="66">
        <v>12.8</v>
      </c>
      <c r="J180" s="99"/>
      <c r="K180" s="100"/>
      <c r="L180" s="100"/>
      <c r="M180" s="100"/>
      <c r="N180" s="100"/>
      <c r="O180" s="100"/>
      <c r="P180" s="100"/>
      <c r="Q180" s="100"/>
      <c r="R180" s="100"/>
      <c r="S180" s="100"/>
      <c r="T180" s="100"/>
      <c r="U180" s="100"/>
      <c r="V180" s="100"/>
      <c r="W180" s="100"/>
      <c r="X180" s="100"/>
      <c r="Y180" s="100"/>
      <c r="Z180" s="100"/>
      <c r="AA180" s="100"/>
      <c r="AB180" s="100"/>
      <c r="AC180" s="100"/>
    </row>
    <row r="181" ht="46.5" customHeight="1">
      <c r="A181" s="51" t="s">
        <v>495</v>
      </c>
      <c r="B181" s="62" t="str">
        <f>VLOOKUP(A181,'HECVAT - Full'!A$24:B$312,2,FALSE)</f>
        <v>Can the Institution review your DRP and supporting documentation?</v>
      </c>
      <c r="C181" s="63" t="s">
        <v>817</v>
      </c>
      <c r="D181" s="128"/>
      <c r="E181" s="127"/>
      <c r="F181" s="63" t="s">
        <v>819</v>
      </c>
      <c r="G181" s="63" t="s">
        <v>913</v>
      </c>
      <c r="H181" s="28" t="s">
        <v>915</v>
      </c>
      <c r="I181" s="66">
        <v>12.8</v>
      </c>
      <c r="J181" s="99"/>
      <c r="K181" s="100"/>
      <c r="L181" s="100"/>
      <c r="M181" s="100"/>
      <c r="N181" s="100"/>
      <c r="O181" s="100"/>
      <c r="P181" s="100"/>
      <c r="Q181" s="100"/>
      <c r="R181" s="100"/>
      <c r="S181" s="100"/>
      <c r="T181" s="100"/>
      <c r="U181" s="100"/>
      <c r="V181" s="100"/>
      <c r="W181" s="100"/>
      <c r="X181" s="100"/>
      <c r="Y181" s="100"/>
      <c r="Z181" s="100"/>
      <c r="AA181" s="100"/>
      <c r="AB181" s="100"/>
      <c r="AC181" s="100"/>
    </row>
    <row r="182" ht="46.5" customHeight="1">
      <c r="A182" s="51" t="s">
        <v>498</v>
      </c>
      <c r="B182" s="62" t="str">
        <f>VLOOKUP(A182,'HECVAT - Full'!A$24:B$312,2,FALSE)</f>
        <v>Are any disaster recovery locations outside the Institution's Data Zone?</v>
      </c>
      <c r="C182" s="63" t="s">
        <v>1003</v>
      </c>
      <c r="D182" s="128"/>
      <c r="E182" s="126" t="s">
        <v>912</v>
      </c>
      <c r="F182" s="63" t="s">
        <v>819</v>
      </c>
      <c r="G182" s="129"/>
      <c r="H182" s="28" t="s">
        <v>915</v>
      </c>
      <c r="I182" s="66">
        <v>12.8</v>
      </c>
      <c r="J182" s="99"/>
      <c r="K182" s="100"/>
      <c r="L182" s="100"/>
      <c r="M182" s="100"/>
      <c r="N182" s="100"/>
      <c r="O182" s="100"/>
      <c r="P182" s="100"/>
      <c r="Q182" s="100"/>
      <c r="R182" s="100"/>
      <c r="S182" s="100"/>
      <c r="T182" s="100"/>
      <c r="U182" s="100"/>
      <c r="V182" s="100"/>
      <c r="W182" s="100"/>
      <c r="X182" s="100"/>
      <c r="Y182" s="100"/>
      <c r="Z182" s="100"/>
      <c r="AA182" s="100"/>
      <c r="AB182" s="100"/>
      <c r="AC182" s="100"/>
    </row>
    <row r="183" ht="46.5" customHeight="1">
      <c r="A183" s="51" t="s">
        <v>500</v>
      </c>
      <c r="B183" s="62" t="str">
        <f>VLOOKUP(A183,'HECVAT - Full'!A$24:B$312,2,FALSE)</f>
        <v>Does your organization have a disaster recovery site or a contracted Disaster Recovery provider?</v>
      </c>
      <c r="C183" s="63" t="s">
        <v>817</v>
      </c>
      <c r="D183" s="128"/>
      <c r="E183" s="126" t="s">
        <v>922</v>
      </c>
      <c r="F183" s="63" t="s">
        <v>819</v>
      </c>
      <c r="G183" s="129"/>
      <c r="H183" s="28" t="s">
        <v>915</v>
      </c>
      <c r="I183" s="132"/>
      <c r="J183" s="99"/>
      <c r="K183" s="100"/>
      <c r="L183" s="100"/>
      <c r="M183" s="100"/>
      <c r="N183" s="100"/>
      <c r="O183" s="100"/>
      <c r="P183" s="100"/>
      <c r="Q183" s="100"/>
      <c r="R183" s="100"/>
      <c r="S183" s="100"/>
      <c r="T183" s="100"/>
      <c r="U183" s="100"/>
      <c r="V183" s="100"/>
      <c r="W183" s="100"/>
      <c r="X183" s="100"/>
      <c r="Y183" s="100"/>
      <c r="Z183" s="100"/>
      <c r="AA183" s="100"/>
      <c r="AB183" s="100"/>
      <c r="AC183" s="100"/>
    </row>
    <row r="184" ht="46.5" customHeight="1">
      <c r="A184" s="51" t="s">
        <v>503</v>
      </c>
      <c r="B184" s="62" t="str">
        <f>VLOOKUP(A184,'HECVAT - Full'!A$24:B$312,2,FALSE)</f>
        <v>Does your organization conduct an annual test of relocating to this site for disaster recovery purposes?</v>
      </c>
      <c r="C184" s="63" t="s">
        <v>817</v>
      </c>
      <c r="D184" s="128"/>
      <c r="E184" s="126" t="s">
        <v>917</v>
      </c>
      <c r="F184" s="63" t="s">
        <v>819</v>
      </c>
      <c r="G184" s="129"/>
      <c r="H184" s="28" t="s">
        <v>915</v>
      </c>
      <c r="I184" s="132"/>
      <c r="J184" s="99"/>
      <c r="K184" s="100"/>
      <c r="L184" s="100"/>
      <c r="M184" s="100"/>
      <c r="N184" s="100"/>
      <c r="O184" s="100"/>
      <c r="P184" s="100"/>
      <c r="Q184" s="100"/>
      <c r="R184" s="100"/>
      <c r="S184" s="100"/>
      <c r="T184" s="100"/>
      <c r="U184" s="100"/>
      <c r="V184" s="100"/>
      <c r="W184" s="100"/>
      <c r="X184" s="100"/>
      <c r="Y184" s="100"/>
      <c r="Z184" s="100"/>
      <c r="AA184" s="100"/>
      <c r="AB184" s="100"/>
      <c r="AC184" s="100"/>
    </row>
    <row r="185" ht="46.5" customHeight="1">
      <c r="A185" s="51" t="s">
        <v>506</v>
      </c>
      <c r="B185" s="62" t="str">
        <f>VLOOKUP(A185,'HECVAT - Full'!A$24:B$312,2,FALSE)</f>
        <v>Is there a defined problem/issue escalation plan in your DRP for impacted clients?</v>
      </c>
      <c r="C185" s="63" t="s">
        <v>817</v>
      </c>
      <c r="D185" s="128"/>
      <c r="E185" s="127"/>
      <c r="F185" s="63" t="s">
        <v>819</v>
      </c>
      <c r="G185" s="63" t="s">
        <v>913</v>
      </c>
      <c r="H185" s="28" t="s">
        <v>915</v>
      </c>
      <c r="I185" s="66">
        <v>12.8</v>
      </c>
      <c r="J185" s="99"/>
      <c r="K185" s="100"/>
      <c r="L185" s="100"/>
      <c r="M185" s="100"/>
      <c r="N185" s="100"/>
      <c r="O185" s="100"/>
      <c r="P185" s="100"/>
      <c r="Q185" s="100"/>
      <c r="R185" s="100"/>
      <c r="S185" s="100"/>
      <c r="T185" s="100"/>
      <c r="U185" s="100"/>
      <c r="V185" s="100"/>
      <c r="W185" s="100"/>
      <c r="X185" s="100"/>
      <c r="Y185" s="100"/>
      <c r="Z185" s="100"/>
      <c r="AA185" s="100"/>
      <c r="AB185" s="100"/>
      <c r="AC185" s="100"/>
    </row>
    <row r="186" ht="46.5" customHeight="1">
      <c r="A186" s="51" t="s">
        <v>508</v>
      </c>
      <c r="B186" s="62" t="str">
        <f>VLOOKUP(A186,'HECVAT - Full'!A$24:B$312,2,FALSE)</f>
        <v>Is there a documented communication plan in your DRP for impacted clients?</v>
      </c>
      <c r="C186" s="63" t="s">
        <v>817</v>
      </c>
      <c r="D186" s="128"/>
      <c r="E186" s="126" t="s">
        <v>818</v>
      </c>
      <c r="F186" s="63" t="s">
        <v>819</v>
      </c>
      <c r="G186" s="63" t="s">
        <v>913</v>
      </c>
      <c r="H186" s="28" t="s">
        <v>915</v>
      </c>
      <c r="I186" s="66">
        <v>12.8</v>
      </c>
      <c r="J186" s="99"/>
      <c r="K186" s="100"/>
      <c r="L186" s="100"/>
      <c r="M186" s="100"/>
      <c r="N186" s="100"/>
      <c r="O186" s="100"/>
      <c r="P186" s="100"/>
      <c r="Q186" s="100"/>
      <c r="R186" s="100"/>
      <c r="S186" s="100"/>
      <c r="T186" s="100"/>
      <c r="U186" s="100"/>
      <c r="V186" s="100"/>
      <c r="W186" s="100"/>
      <c r="X186" s="100"/>
      <c r="Y186" s="100"/>
      <c r="Z186" s="100"/>
      <c r="AA186" s="100"/>
      <c r="AB186" s="100"/>
      <c r="AC186" s="100"/>
    </row>
    <row r="187" ht="63.75" customHeight="1">
      <c r="A187" s="51" t="s">
        <v>510</v>
      </c>
      <c r="B187" s="62" t="str">
        <f>VLOOKUP(A187,'HECVAT - Full'!A$24:B$312,2,FALSE)</f>
        <v>Describe or provide a reference to how your disaster recovery plan is tested? (i.e. scope of DR tests, end-to-end testing, etc.)</v>
      </c>
      <c r="C187" s="63" t="s">
        <v>817</v>
      </c>
      <c r="D187" s="128"/>
      <c r="E187" s="126" t="s">
        <v>917</v>
      </c>
      <c r="F187" s="63" t="s">
        <v>819</v>
      </c>
      <c r="G187" s="63" t="s">
        <v>913</v>
      </c>
      <c r="H187" s="28" t="s">
        <v>915</v>
      </c>
      <c r="I187" s="132"/>
      <c r="J187" s="99"/>
      <c r="K187" s="100"/>
      <c r="L187" s="100"/>
      <c r="M187" s="100"/>
      <c r="N187" s="100"/>
      <c r="O187" s="100"/>
      <c r="P187" s="100"/>
      <c r="Q187" s="100"/>
      <c r="R187" s="100"/>
      <c r="S187" s="100"/>
      <c r="T187" s="100"/>
      <c r="U187" s="100"/>
      <c r="V187" s="100"/>
      <c r="W187" s="100"/>
      <c r="X187" s="100"/>
      <c r="Y187" s="100"/>
      <c r="Z187" s="100"/>
      <c r="AA187" s="100"/>
      <c r="AB187" s="100"/>
      <c r="AC187" s="100"/>
    </row>
    <row r="188" ht="63.75" customHeight="1">
      <c r="A188" s="51" t="s">
        <v>514</v>
      </c>
      <c r="B188" s="62" t="str">
        <f>VLOOKUP(A188,'HECVAT - Full'!A$24:B$312,2,FALSE)</f>
        <v>Has the Disaster Recovery Plan been tested in the last year?  Please provide a summary of the results in Additional Information (including actual recovery time).</v>
      </c>
      <c r="C188" s="63" t="s">
        <v>817</v>
      </c>
      <c r="D188" s="128"/>
      <c r="E188" s="126" t="s">
        <v>917</v>
      </c>
      <c r="F188" s="63" t="s">
        <v>819</v>
      </c>
      <c r="G188" s="63" t="s">
        <v>913</v>
      </c>
      <c r="H188" s="28" t="s">
        <v>915</v>
      </c>
      <c r="I188" s="132"/>
      <c r="J188" s="99"/>
      <c r="K188" s="100"/>
      <c r="L188" s="100"/>
      <c r="M188" s="100"/>
      <c r="N188" s="100"/>
      <c r="O188" s="100"/>
      <c r="P188" s="100"/>
      <c r="Q188" s="100"/>
      <c r="R188" s="100"/>
      <c r="S188" s="100"/>
      <c r="T188" s="100"/>
      <c r="U188" s="100"/>
      <c r="V188" s="100"/>
      <c r="W188" s="100"/>
      <c r="X188" s="100"/>
      <c r="Y188" s="100"/>
      <c r="Z188" s="100"/>
      <c r="AA188" s="100"/>
      <c r="AB188" s="100"/>
      <c r="AC188" s="100"/>
    </row>
    <row r="189" ht="48.0" customHeight="1">
      <c r="A189" s="51" t="s">
        <v>517</v>
      </c>
      <c r="B189" s="62" t="str">
        <f>VLOOKUP(A189,'HECVAT - Full'!A$24:B$312,2,FALSE)</f>
        <v>Do the documented test results identify your organizations actual recovery time capabilities for technology and facilities?</v>
      </c>
      <c r="C189" s="63" t="s">
        <v>817</v>
      </c>
      <c r="D189" s="128"/>
      <c r="E189" s="126" t="s">
        <v>1004</v>
      </c>
      <c r="F189" s="63" t="s">
        <v>819</v>
      </c>
      <c r="G189" s="129"/>
      <c r="H189" s="28" t="s">
        <v>915</v>
      </c>
      <c r="I189" s="66">
        <v>12.8</v>
      </c>
      <c r="J189" s="99"/>
      <c r="K189" s="100"/>
      <c r="L189" s="100"/>
      <c r="M189" s="100"/>
      <c r="N189" s="100"/>
      <c r="O189" s="100"/>
      <c r="P189" s="100"/>
      <c r="Q189" s="100"/>
      <c r="R189" s="100"/>
      <c r="S189" s="100"/>
      <c r="T189" s="100"/>
      <c r="U189" s="100"/>
      <c r="V189" s="100"/>
      <c r="W189" s="100"/>
      <c r="X189" s="100"/>
      <c r="Y189" s="100"/>
      <c r="Z189" s="100"/>
      <c r="AA189" s="100"/>
      <c r="AB189" s="100"/>
      <c r="AC189" s="100"/>
    </row>
    <row r="190" ht="48.0" customHeight="1">
      <c r="A190" s="51" t="s">
        <v>519</v>
      </c>
      <c r="B190" s="62" t="str">
        <f>VLOOKUP(A190,'HECVAT - Full'!A$24:B$312,2,FALSE)</f>
        <v>Are all components of the DRP reviewed at least annually and updated as needed to reflect change? </v>
      </c>
      <c r="C190" s="63" t="s">
        <v>817</v>
      </c>
      <c r="D190" s="128"/>
      <c r="E190" s="126" t="s">
        <v>912</v>
      </c>
      <c r="F190" s="63" t="s">
        <v>819</v>
      </c>
      <c r="G190" s="63" t="s">
        <v>913</v>
      </c>
      <c r="H190" s="28" t="s">
        <v>915</v>
      </c>
      <c r="I190" s="132"/>
      <c r="J190" s="99"/>
      <c r="K190" s="100"/>
      <c r="L190" s="100"/>
      <c r="M190" s="100"/>
      <c r="N190" s="100"/>
      <c r="O190" s="100"/>
      <c r="P190" s="100"/>
      <c r="Q190" s="100"/>
      <c r="R190" s="100"/>
      <c r="S190" s="100"/>
      <c r="T190" s="100"/>
      <c r="U190" s="100"/>
      <c r="V190" s="100"/>
      <c r="W190" s="100"/>
      <c r="X190" s="100"/>
      <c r="Y190" s="100"/>
      <c r="Z190" s="100"/>
      <c r="AA190" s="100"/>
      <c r="AB190" s="100"/>
      <c r="AC190" s="100"/>
    </row>
    <row r="191" ht="48.0" customHeight="1">
      <c r="A191" s="51" t="s">
        <v>522</v>
      </c>
      <c r="B191" s="62" t="str">
        <f>VLOOKUP(A191,'HECVAT - Full'!A$24:B$312,2,FALSE)</f>
        <v>Do you carry cyber-risk insurance to protect against unforeseen service outages, data that is lost or stolen, and security incidents?</v>
      </c>
      <c r="C191" s="128"/>
      <c r="D191" s="128"/>
      <c r="E191" s="127"/>
      <c r="F191" s="128"/>
      <c r="G191" s="63" t="s">
        <v>1005</v>
      </c>
      <c r="H191" s="28" t="s">
        <v>915</v>
      </c>
      <c r="I191" s="66">
        <v>12.8</v>
      </c>
      <c r="J191" s="99"/>
      <c r="K191" s="100"/>
      <c r="L191" s="100"/>
      <c r="M191" s="100"/>
      <c r="N191" s="100"/>
      <c r="O191" s="100"/>
      <c r="P191" s="100"/>
      <c r="Q191" s="100"/>
      <c r="R191" s="100"/>
      <c r="S191" s="100"/>
      <c r="T191" s="100"/>
      <c r="U191" s="100"/>
      <c r="V191" s="100"/>
      <c r="W191" s="100"/>
      <c r="X191" s="100"/>
      <c r="Y191" s="100"/>
      <c r="Z191" s="100"/>
      <c r="AA191" s="100"/>
      <c r="AB191" s="100"/>
      <c r="AC191" s="100"/>
    </row>
    <row r="192" ht="36.0" customHeight="1">
      <c r="A192" s="45" t="str">
        <f>IF($C$30="","Firewalls, IDS, IPS, and Networking",IF($C$30="Yes","FW/IDPS/Networks - Optional based on QUALIFIER response.","Firewalls, IDS, IPS, and Networking"))</f>
        <v>Firewalls, IDS, IPS, and Networking</v>
      </c>
      <c r="B192" s="14"/>
      <c r="C192" s="60" t="str">
        <f>$C$22</f>
        <v>CIS Critical Security Controls v6.1</v>
      </c>
      <c r="D192" s="60" t="str">
        <f>$D$22</f>
        <v>HIPAA</v>
      </c>
      <c r="E192" s="60" t="str">
        <f>$E$22</f>
        <v>ISO 27002:2013</v>
      </c>
      <c r="F192" s="60" t="str">
        <f>$F$22</f>
        <v>NIST Cybersecurity Framework</v>
      </c>
      <c r="G192" s="60" t="str">
        <f>$G$22</f>
        <v>NIST SP 800-171r1</v>
      </c>
      <c r="H192" s="60" t="str">
        <f>$H$22</f>
        <v>NIST SP 800-53r4</v>
      </c>
      <c r="I192" s="60" t="s">
        <v>808</v>
      </c>
      <c r="J192" s="99"/>
      <c r="K192" s="100"/>
      <c r="L192" s="100"/>
      <c r="M192" s="100"/>
      <c r="N192" s="100"/>
      <c r="O192" s="100"/>
      <c r="P192" s="100"/>
      <c r="Q192" s="100"/>
      <c r="R192" s="100"/>
      <c r="S192" s="100"/>
      <c r="T192" s="100"/>
      <c r="U192" s="100"/>
      <c r="V192" s="100"/>
      <c r="W192" s="100"/>
      <c r="X192" s="100"/>
      <c r="Y192" s="100"/>
      <c r="Z192" s="100"/>
      <c r="AA192" s="100"/>
      <c r="AB192" s="100"/>
      <c r="AC192" s="100"/>
    </row>
    <row r="193" ht="36.0" customHeight="1">
      <c r="A193" s="51" t="s">
        <v>525</v>
      </c>
      <c r="B193" s="62" t="str">
        <f>VLOOKUP(A193,'HECVAT - Full'!A$24:B$312,2,FALSE)</f>
        <v>Are you utilizing a web application firewall (WAF)?</v>
      </c>
      <c r="C193" s="63" t="s">
        <v>995</v>
      </c>
      <c r="D193" s="128"/>
      <c r="E193" s="126" t="s">
        <v>1006</v>
      </c>
      <c r="F193" s="63" t="s">
        <v>1007</v>
      </c>
      <c r="G193" s="129"/>
      <c r="H193" s="127"/>
      <c r="I193" s="130">
        <v>1.1</v>
      </c>
      <c r="J193" s="99"/>
      <c r="K193" s="100"/>
      <c r="L193" s="100"/>
      <c r="M193" s="100"/>
      <c r="N193" s="100"/>
      <c r="O193" s="100"/>
      <c r="P193" s="100"/>
      <c r="Q193" s="100"/>
      <c r="R193" s="100"/>
      <c r="S193" s="100"/>
      <c r="T193" s="100"/>
      <c r="U193" s="100"/>
      <c r="V193" s="100"/>
      <c r="W193" s="100"/>
      <c r="X193" s="100"/>
      <c r="Y193" s="100"/>
      <c r="Z193" s="100"/>
      <c r="AA193" s="100"/>
      <c r="AB193" s="100"/>
      <c r="AC193" s="100"/>
    </row>
    <row r="194" ht="36.0" customHeight="1">
      <c r="A194" s="51" t="s">
        <v>528</v>
      </c>
      <c r="B194" s="62" t="str">
        <f>VLOOKUP(A194,'HECVAT - Full'!A$24:B$312,2,FALSE)</f>
        <v>Are you utilizing a stateful packet inspection (SPI) firewall?</v>
      </c>
      <c r="C194" s="63" t="s">
        <v>995</v>
      </c>
      <c r="D194" s="128"/>
      <c r="E194" s="126" t="s">
        <v>1006</v>
      </c>
      <c r="F194" s="63" t="s">
        <v>1007</v>
      </c>
      <c r="G194" s="129"/>
      <c r="H194" s="127"/>
      <c r="I194" s="130">
        <v>1.1</v>
      </c>
      <c r="J194" s="99"/>
      <c r="K194" s="100"/>
      <c r="L194" s="100"/>
      <c r="M194" s="100"/>
      <c r="N194" s="100"/>
      <c r="O194" s="100"/>
      <c r="P194" s="100"/>
      <c r="Q194" s="100"/>
      <c r="R194" s="100"/>
      <c r="S194" s="100"/>
      <c r="T194" s="100"/>
      <c r="U194" s="100"/>
      <c r="V194" s="100"/>
      <c r="W194" s="100"/>
      <c r="X194" s="100"/>
      <c r="Y194" s="100"/>
      <c r="Z194" s="100"/>
      <c r="AA194" s="100"/>
      <c r="AB194" s="100"/>
      <c r="AC194" s="100"/>
    </row>
    <row r="195" ht="48.0" customHeight="1">
      <c r="A195" s="51" t="s">
        <v>531</v>
      </c>
      <c r="B195" s="62" t="str">
        <f>VLOOKUP(A195,'HECVAT - Full'!A$24:B$312,2,FALSE)</f>
        <v>State and describe who has the authority to change firewall rules?</v>
      </c>
      <c r="C195" s="63" t="s">
        <v>995</v>
      </c>
      <c r="D195" s="128"/>
      <c r="E195" s="126" t="s">
        <v>1008</v>
      </c>
      <c r="F195" s="63" t="s">
        <v>996</v>
      </c>
      <c r="G195" s="129"/>
      <c r="H195" s="127"/>
      <c r="I195" s="130">
        <v>1.1</v>
      </c>
      <c r="J195" s="99"/>
      <c r="K195" s="100"/>
      <c r="L195" s="100"/>
      <c r="M195" s="100"/>
      <c r="N195" s="100"/>
      <c r="O195" s="100"/>
      <c r="P195" s="100"/>
      <c r="Q195" s="100"/>
      <c r="R195" s="100"/>
      <c r="S195" s="100"/>
      <c r="T195" s="100"/>
      <c r="U195" s="100"/>
      <c r="V195" s="100"/>
      <c r="W195" s="100"/>
      <c r="X195" s="100"/>
      <c r="Y195" s="100"/>
      <c r="Z195" s="100"/>
      <c r="AA195" s="100"/>
      <c r="AB195" s="100"/>
      <c r="AC195" s="100"/>
    </row>
    <row r="196" ht="36.0" customHeight="1">
      <c r="A196" s="51" t="s">
        <v>535</v>
      </c>
      <c r="B196" s="62" t="str">
        <f>VLOOKUP(A196,'HECVAT - Full'!A$24:B$312,2,FALSE)</f>
        <v>Do you have a documented policy for firewall change requests?</v>
      </c>
      <c r="C196" s="63" t="s">
        <v>995</v>
      </c>
      <c r="D196" s="128"/>
      <c r="E196" s="126" t="s">
        <v>923</v>
      </c>
      <c r="F196" s="63" t="s">
        <v>996</v>
      </c>
      <c r="G196" s="129"/>
      <c r="H196" s="127"/>
      <c r="I196" s="130">
        <v>1.1</v>
      </c>
      <c r="J196" s="99"/>
      <c r="K196" s="100"/>
      <c r="L196" s="100"/>
      <c r="M196" s="100"/>
      <c r="N196" s="100"/>
      <c r="O196" s="100"/>
      <c r="P196" s="100"/>
      <c r="Q196" s="100"/>
      <c r="R196" s="100"/>
      <c r="S196" s="100"/>
      <c r="T196" s="100"/>
      <c r="U196" s="100"/>
      <c r="V196" s="100"/>
      <c r="W196" s="100"/>
      <c r="X196" s="100"/>
      <c r="Y196" s="100"/>
      <c r="Z196" s="100"/>
      <c r="AA196" s="100"/>
      <c r="AB196" s="100"/>
      <c r="AC196" s="100"/>
    </row>
    <row r="197" ht="36.0" customHeight="1">
      <c r="A197" s="51" t="s">
        <v>538</v>
      </c>
      <c r="B197" s="62" t="str">
        <f>VLOOKUP(A197,'HECVAT - Full'!A$24:B$312,2,FALSE)</f>
        <v>Have you implemented an Intrusion Detection System (network-based)?</v>
      </c>
      <c r="C197" s="63" t="s">
        <v>1009</v>
      </c>
      <c r="D197" s="128"/>
      <c r="E197" s="126" t="s">
        <v>992</v>
      </c>
      <c r="F197" s="63" t="s">
        <v>1010</v>
      </c>
      <c r="G197" s="63" t="s">
        <v>1011</v>
      </c>
      <c r="H197" s="126" t="s">
        <v>1012</v>
      </c>
      <c r="I197" s="130">
        <v>11.4</v>
      </c>
      <c r="J197" s="99"/>
      <c r="K197" s="100"/>
      <c r="L197" s="100"/>
      <c r="M197" s="100"/>
      <c r="N197" s="100"/>
      <c r="O197" s="100"/>
      <c r="P197" s="100"/>
      <c r="Q197" s="100"/>
      <c r="R197" s="100"/>
      <c r="S197" s="100"/>
      <c r="T197" s="100"/>
      <c r="U197" s="100"/>
      <c r="V197" s="100"/>
      <c r="W197" s="100"/>
      <c r="X197" s="100"/>
      <c r="Y197" s="100"/>
      <c r="Z197" s="100"/>
      <c r="AA197" s="100"/>
      <c r="AB197" s="100"/>
      <c r="AC197" s="100"/>
    </row>
    <row r="198" ht="36.0" customHeight="1">
      <c r="A198" s="51" t="s">
        <v>541</v>
      </c>
      <c r="B198" s="62" t="str">
        <f>VLOOKUP(A198,'HECVAT - Full'!A$24:B$312,2,FALSE)</f>
        <v>Have you implemented an Intrusion Prevention System (network-based)?</v>
      </c>
      <c r="C198" s="63" t="s">
        <v>1009</v>
      </c>
      <c r="D198" s="128"/>
      <c r="E198" s="126" t="s">
        <v>992</v>
      </c>
      <c r="F198" s="63" t="s">
        <v>1010</v>
      </c>
      <c r="G198" s="63" t="s">
        <v>1011</v>
      </c>
      <c r="H198" s="126" t="s">
        <v>1012</v>
      </c>
      <c r="I198" s="130">
        <v>11.4</v>
      </c>
      <c r="J198" s="99"/>
      <c r="K198" s="100"/>
      <c r="L198" s="100"/>
      <c r="M198" s="100"/>
      <c r="N198" s="100"/>
      <c r="O198" s="100"/>
      <c r="P198" s="100"/>
      <c r="Q198" s="100"/>
      <c r="R198" s="100"/>
      <c r="S198" s="100"/>
      <c r="T198" s="100"/>
      <c r="U198" s="100"/>
      <c r="V198" s="100"/>
      <c r="W198" s="100"/>
      <c r="X198" s="100"/>
      <c r="Y198" s="100"/>
      <c r="Z198" s="100"/>
      <c r="AA198" s="100"/>
      <c r="AB198" s="100"/>
      <c r="AC198" s="100"/>
    </row>
    <row r="199" ht="36.0" customHeight="1">
      <c r="A199" s="51" t="s">
        <v>544</v>
      </c>
      <c r="B199" s="62" t="str">
        <f>VLOOKUP(A199,'HECVAT - Full'!A$24:B$312,2,FALSE)</f>
        <v>Do you employ host-based intrusion detection?</v>
      </c>
      <c r="C199" s="63" t="s">
        <v>1009</v>
      </c>
      <c r="D199" s="128"/>
      <c r="E199" s="126" t="s">
        <v>992</v>
      </c>
      <c r="F199" s="63" t="s">
        <v>1010</v>
      </c>
      <c r="G199" s="63" t="s">
        <v>1011</v>
      </c>
      <c r="H199" s="126" t="s">
        <v>1012</v>
      </c>
      <c r="I199" s="130">
        <v>11.4</v>
      </c>
      <c r="J199" s="99"/>
      <c r="K199" s="100"/>
      <c r="L199" s="100"/>
      <c r="M199" s="100"/>
      <c r="N199" s="100"/>
      <c r="O199" s="100"/>
      <c r="P199" s="100"/>
      <c r="Q199" s="100"/>
      <c r="R199" s="100"/>
      <c r="S199" s="100"/>
      <c r="T199" s="100"/>
      <c r="U199" s="100"/>
      <c r="V199" s="100"/>
      <c r="W199" s="100"/>
      <c r="X199" s="100"/>
      <c r="Y199" s="100"/>
      <c r="Z199" s="100"/>
      <c r="AA199" s="100"/>
      <c r="AB199" s="100"/>
      <c r="AC199" s="100"/>
    </row>
    <row r="200" ht="36.0" customHeight="1">
      <c r="A200" s="51" t="s">
        <v>547</v>
      </c>
      <c r="B200" s="62" t="str">
        <f>VLOOKUP(A200,'HECVAT - Full'!A$24:B$312,2,FALSE)</f>
        <v>Do you employ host-based intrusion prevention?</v>
      </c>
      <c r="C200" s="63" t="s">
        <v>1009</v>
      </c>
      <c r="D200" s="128"/>
      <c r="E200" s="126" t="s">
        <v>992</v>
      </c>
      <c r="F200" s="63" t="s">
        <v>1010</v>
      </c>
      <c r="G200" s="63" t="s">
        <v>1011</v>
      </c>
      <c r="H200" s="126" t="s">
        <v>1012</v>
      </c>
      <c r="I200" s="130">
        <v>11.4</v>
      </c>
      <c r="J200" s="99"/>
      <c r="K200" s="100"/>
      <c r="L200" s="100"/>
      <c r="M200" s="100"/>
      <c r="N200" s="100"/>
      <c r="O200" s="100"/>
      <c r="P200" s="100"/>
      <c r="Q200" s="100"/>
      <c r="R200" s="100"/>
      <c r="S200" s="100"/>
      <c r="T200" s="100"/>
      <c r="U200" s="100"/>
      <c r="V200" s="100"/>
      <c r="W200" s="100"/>
      <c r="X200" s="100"/>
      <c r="Y200" s="100"/>
      <c r="Z200" s="100"/>
      <c r="AA200" s="100"/>
      <c r="AB200" s="100"/>
      <c r="AC200" s="100"/>
    </row>
    <row r="201" ht="48.0" customHeight="1">
      <c r="A201" s="51" t="s">
        <v>550</v>
      </c>
      <c r="B201" s="62" t="str">
        <f>VLOOKUP(A201,'HECVAT - Full'!A$24:B$312,2,FALSE)</f>
        <v>Are you employing any next-generation persistent threat (NGPT) monitoring?</v>
      </c>
      <c r="C201" s="63" t="s">
        <v>1009</v>
      </c>
      <c r="D201" s="128"/>
      <c r="E201" s="126" t="s">
        <v>1013</v>
      </c>
      <c r="F201" s="128"/>
      <c r="G201" s="63" t="s">
        <v>1011</v>
      </c>
      <c r="H201" s="126" t="s">
        <v>1012</v>
      </c>
      <c r="I201" s="130">
        <v>11.5</v>
      </c>
      <c r="J201" s="99"/>
      <c r="K201" s="100"/>
      <c r="L201" s="100"/>
      <c r="M201" s="100"/>
      <c r="N201" s="100"/>
      <c r="O201" s="100"/>
      <c r="P201" s="100"/>
      <c r="Q201" s="100"/>
      <c r="R201" s="100"/>
      <c r="S201" s="100"/>
      <c r="T201" s="100"/>
      <c r="U201" s="100"/>
      <c r="V201" s="100"/>
      <c r="W201" s="100"/>
      <c r="X201" s="100"/>
      <c r="Y201" s="100"/>
      <c r="Z201" s="100"/>
      <c r="AA201" s="100"/>
      <c r="AB201" s="100"/>
      <c r="AC201" s="100"/>
    </row>
    <row r="202" ht="36.0" customHeight="1">
      <c r="A202" s="51" t="s">
        <v>553</v>
      </c>
      <c r="B202" s="62" t="str">
        <f>VLOOKUP(A202,'HECVAT - Full'!A$24:B$312,2,FALSE)</f>
        <v>Do you monitor for intrusions on a 24x7x365 basis?</v>
      </c>
      <c r="C202" s="63" t="s">
        <v>1009</v>
      </c>
      <c r="D202" s="128"/>
      <c r="E202" s="126" t="s">
        <v>1013</v>
      </c>
      <c r="F202" s="63" t="s">
        <v>1014</v>
      </c>
      <c r="G202" s="63" t="s">
        <v>1011</v>
      </c>
      <c r="H202" s="126" t="s">
        <v>1012</v>
      </c>
      <c r="I202" s="130">
        <v>11.4</v>
      </c>
      <c r="J202" s="99"/>
      <c r="K202" s="100"/>
      <c r="L202" s="100"/>
      <c r="M202" s="100"/>
      <c r="N202" s="100"/>
      <c r="O202" s="100"/>
      <c r="P202" s="100"/>
      <c r="Q202" s="100"/>
      <c r="R202" s="100"/>
      <c r="S202" s="100"/>
      <c r="T202" s="100"/>
      <c r="U202" s="100"/>
      <c r="V202" s="100"/>
      <c r="W202" s="100"/>
      <c r="X202" s="100"/>
      <c r="Y202" s="100"/>
      <c r="Z202" s="100"/>
      <c r="AA202" s="100"/>
      <c r="AB202" s="100"/>
      <c r="AC202" s="100"/>
    </row>
    <row r="203" ht="36.0" customHeight="1">
      <c r="A203" s="51" t="s">
        <v>555</v>
      </c>
      <c r="B203" s="62" t="str">
        <f>VLOOKUP(A203,'HECVAT - Full'!A$24:B$312,2,FALSE)</f>
        <v>Is intrusion monitoring performed internally or by a third-party service?</v>
      </c>
      <c r="C203" s="63" t="s">
        <v>1015</v>
      </c>
      <c r="D203" s="128"/>
      <c r="E203" s="126" t="s">
        <v>1013</v>
      </c>
      <c r="F203" s="63" t="s">
        <v>1014</v>
      </c>
      <c r="G203" s="63" t="s">
        <v>1011</v>
      </c>
      <c r="H203" s="126" t="s">
        <v>1012</v>
      </c>
      <c r="I203" s="126" t="s">
        <v>1016</v>
      </c>
      <c r="J203" s="99"/>
      <c r="K203" s="100"/>
      <c r="L203" s="100"/>
      <c r="M203" s="100"/>
      <c r="N203" s="100"/>
      <c r="O203" s="100"/>
      <c r="P203" s="100"/>
      <c r="Q203" s="100"/>
      <c r="R203" s="100"/>
      <c r="S203" s="100"/>
      <c r="T203" s="100"/>
      <c r="U203" s="100"/>
      <c r="V203" s="100"/>
      <c r="W203" s="100"/>
      <c r="X203" s="100"/>
      <c r="Y203" s="100"/>
      <c r="Z203" s="100"/>
      <c r="AA203" s="100"/>
      <c r="AB203" s="100"/>
      <c r="AC203" s="100"/>
    </row>
    <row r="204" ht="36.0" customHeight="1">
      <c r="A204" s="51" t="s">
        <v>559</v>
      </c>
      <c r="B204" s="62" t="str">
        <f>VLOOKUP(A204,'HECVAT - Full'!A$24:B$312,2,FALSE)</f>
        <v>Are audit logs available for all changes to the network, firewall, IDS, and IPS systems?</v>
      </c>
      <c r="C204" s="63" t="s">
        <v>901</v>
      </c>
      <c r="D204" s="128"/>
      <c r="E204" s="126" t="s">
        <v>1013</v>
      </c>
      <c r="F204" s="63" t="s">
        <v>1017</v>
      </c>
      <c r="G204" s="63" t="s">
        <v>1018</v>
      </c>
      <c r="H204" s="126" t="s">
        <v>1019</v>
      </c>
      <c r="I204" s="126" t="s">
        <v>1020</v>
      </c>
      <c r="J204" s="99"/>
      <c r="K204" s="100"/>
      <c r="L204" s="100"/>
      <c r="M204" s="100"/>
      <c r="N204" s="100"/>
      <c r="O204" s="100"/>
      <c r="P204" s="100"/>
      <c r="Q204" s="100"/>
      <c r="R204" s="100"/>
      <c r="S204" s="100"/>
      <c r="T204" s="100"/>
      <c r="U204" s="100"/>
      <c r="V204" s="100"/>
      <c r="W204" s="100"/>
      <c r="X204" s="100"/>
      <c r="Y204" s="100"/>
      <c r="Z204" s="100"/>
      <c r="AA204" s="100"/>
      <c r="AB204" s="100"/>
      <c r="AC204" s="100"/>
    </row>
    <row r="205" ht="36.0" customHeight="1">
      <c r="A205" s="45" t="str">
        <f>IF(OR($C$25="No",$C$30="Yes"),"Mobile Applications - Optional based on QUALIFIER response.","Mobile Applications")</f>
        <v>Mobile Applications</v>
      </c>
      <c r="B205" s="14"/>
      <c r="C205" s="60" t="str">
        <f>$C$22</f>
        <v>CIS Critical Security Controls v6.1</v>
      </c>
      <c r="D205" s="60" t="str">
        <f>$D$22</f>
        <v>HIPAA</v>
      </c>
      <c r="E205" s="60" t="str">
        <f>$E$22</f>
        <v>ISO 27002:2013</v>
      </c>
      <c r="F205" s="60" t="str">
        <f>$F$22</f>
        <v>NIST Cybersecurity Framework</v>
      </c>
      <c r="G205" s="60" t="str">
        <f>$G$22</f>
        <v>NIST SP 800-171r1</v>
      </c>
      <c r="H205" s="60" t="str">
        <f>$H$22</f>
        <v>NIST SP 800-53r4</v>
      </c>
      <c r="I205" s="60" t="s">
        <v>808</v>
      </c>
      <c r="J205" s="99"/>
      <c r="K205" s="100"/>
      <c r="L205" s="100"/>
      <c r="M205" s="100"/>
      <c r="N205" s="100"/>
      <c r="O205" s="100"/>
      <c r="P205" s="100"/>
      <c r="Q205" s="100"/>
      <c r="R205" s="100"/>
      <c r="S205" s="100"/>
      <c r="T205" s="100"/>
      <c r="U205" s="100"/>
      <c r="V205" s="100"/>
      <c r="W205" s="100"/>
      <c r="X205" s="100"/>
      <c r="Y205" s="100"/>
      <c r="Z205" s="100"/>
      <c r="AA205" s="100"/>
      <c r="AB205" s="100"/>
      <c r="AC205" s="100"/>
    </row>
    <row r="206" ht="48.0" customHeight="1">
      <c r="A206" s="51" t="s">
        <v>562</v>
      </c>
      <c r="B206" s="62" t="str">
        <f>VLOOKUP(A206,'HECVAT - Full'!A$24:B$312,2,FALSE)</f>
        <v>On which mobile operating systems is your software or service supported?</v>
      </c>
      <c r="C206" s="63" t="s">
        <v>814</v>
      </c>
      <c r="D206" s="128"/>
      <c r="E206" s="127"/>
      <c r="F206" s="128"/>
      <c r="G206" s="137"/>
      <c r="H206" s="127"/>
      <c r="I206" s="127"/>
      <c r="J206" s="99"/>
      <c r="K206" s="100"/>
      <c r="L206" s="100"/>
      <c r="M206" s="100"/>
      <c r="N206" s="100"/>
      <c r="O206" s="100"/>
      <c r="P206" s="100"/>
      <c r="Q206" s="100"/>
      <c r="R206" s="100"/>
      <c r="S206" s="100"/>
      <c r="T206" s="100"/>
      <c r="U206" s="100"/>
      <c r="V206" s="100"/>
      <c r="W206" s="100"/>
      <c r="X206" s="100"/>
      <c r="Y206" s="100"/>
      <c r="Z206" s="100"/>
      <c r="AA206" s="100"/>
      <c r="AB206" s="100"/>
      <c r="AC206" s="100"/>
    </row>
    <row r="207" ht="46.5" customHeight="1">
      <c r="A207" s="51" t="s">
        <v>565</v>
      </c>
      <c r="B207" s="62" t="str">
        <f>VLOOKUP(A207,'HECVAT - Full'!A$24:B$312,2,FALSE)</f>
        <v>Describe or provide a reference to the application's architecture and functionality.</v>
      </c>
      <c r="C207" s="63" t="s">
        <v>990</v>
      </c>
      <c r="D207" s="128"/>
      <c r="E207" s="127"/>
      <c r="F207" s="63" t="s">
        <v>1021</v>
      </c>
      <c r="G207" s="137"/>
      <c r="H207" s="127"/>
      <c r="I207" s="127"/>
      <c r="J207" s="99"/>
      <c r="K207" s="100"/>
      <c r="L207" s="100"/>
      <c r="M207" s="100"/>
      <c r="N207" s="100"/>
      <c r="O207" s="100"/>
      <c r="P207" s="100"/>
      <c r="Q207" s="100"/>
      <c r="R207" s="100"/>
      <c r="S207" s="100"/>
      <c r="T207" s="100"/>
      <c r="U207" s="100"/>
      <c r="V207" s="100"/>
      <c r="W207" s="100"/>
      <c r="X207" s="100"/>
      <c r="Y207" s="100"/>
      <c r="Z207" s="100"/>
      <c r="AA207" s="100"/>
      <c r="AB207" s="100"/>
      <c r="AC207" s="100"/>
    </row>
    <row r="208" ht="36.0" customHeight="1">
      <c r="A208" s="51" t="s">
        <v>568</v>
      </c>
      <c r="B208" s="62" t="str">
        <f>VLOOKUP(A208,'HECVAT - Full'!A$24:B$312,2,FALSE)</f>
        <v>Is the application available from a trusted source (e.g., iTunes App Store, Android Market, BB World)?</v>
      </c>
      <c r="C208" s="63" t="s">
        <v>814</v>
      </c>
      <c r="D208" s="128"/>
      <c r="E208" s="127"/>
      <c r="F208" s="63" t="s">
        <v>1021</v>
      </c>
      <c r="G208" s="129"/>
      <c r="H208" s="127"/>
      <c r="I208" s="127"/>
      <c r="J208" s="99"/>
      <c r="K208" s="100"/>
      <c r="L208" s="100"/>
      <c r="M208" s="100"/>
      <c r="N208" s="100"/>
      <c r="O208" s="100"/>
      <c r="P208" s="100"/>
      <c r="Q208" s="100"/>
      <c r="R208" s="100"/>
      <c r="S208" s="100"/>
      <c r="T208" s="100"/>
      <c r="U208" s="100"/>
      <c r="V208" s="100"/>
      <c r="W208" s="100"/>
      <c r="X208" s="100"/>
      <c r="Y208" s="100"/>
      <c r="Z208" s="100"/>
      <c r="AA208" s="100"/>
      <c r="AB208" s="100"/>
      <c r="AC208" s="100"/>
    </row>
    <row r="209" ht="64.5" customHeight="1">
      <c r="A209" s="51" t="s">
        <v>570</v>
      </c>
      <c r="B209" s="62" t="str">
        <f>VLOOKUP(A209,'HECVAT - Full'!A$24:B$312,2,FALSE)</f>
        <v>Does the application store, process, or transmit critical data?</v>
      </c>
      <c r="C209" s="63" t="s">
        <v>1022</v>
      </c>
      <c r="D209" s="128"/>
      <c r="E209" s="126" t="s">
        <v>1023</v>
      </c>
      <c r="F209" s="63" t="s">
        <v>1024</v>
      </c>
      <c r="G209" s="129"/>
      <c r="H209" s="127"/>
      <c r="I209" s="127"/>
      <c r="J209" s="99"/>
      <c r="K209" s="100"/>
      <c r="L209" s="100"/>
      <c r="M209" s="100"/>
      <c r="N209" s="100"/>
      <c r="O209" s="100"/>
      <c r="P209" s="100"/>
      <c r="Q209" s="100"/>
      <c r="R209" s="100"/>
      <c r="S209" s="100"/>
      <c r="T209" s="100"/>
      <c r="U209" s="100"/>
      <c r="V209" s="100"/>
      <c r="W209" s="100"/>
      <c r="X209" s="100"/>
      <c r="Y209" s="100"/>
      <c r="Z209" s="100"/>
      <c r="AA209" s="100"/>
      <c r="AB209" s="100"/>
      <c r="AC209" s="100"/>
    </row>
    <row r="210" ht="36.0" customHeight="1">
      <c r="A210" s="51" t="s">
        <v>572</v>
      </c>
      <c r="B210" s="62" t="str">
        <f>VLOOKUP(A210,'HECVAT - Full'!A$24:B$312,2,FALSE)</f>
        <v>Is Institution's data encrypted in transport?</v>
      </c>
      <c r="C210" s="63" t="s">
        <v>809</v>
      </c>
      <c r="D210" s="128"/>
      <c r="E210" s="126" t="s">
        <v>1025</v>
      </c>
      <c r="F210" s="63" t="s">
        <v>1024</v>
      </c>
      <c r="G210" s="63" t="s">
        <v>1026</v>
      </c>
      <c r="H210" s="126" t="s">
        <v>1027</v>
      </c>
      <c r="I210" s="130">
        <v>4.1</v>
      </c>
      <c r="J210" s="99"/>
      <c r="K210" s="100"/>
      <c r="L210" s="100"/>
      <c r="M210" s="100"/>
      <c r="N210" s="100"/>
      <c r="O210" s="100"/>
      <c r="P210" s="100"/>
      <c r="Q210" s="100"/>
      <c r="R210" s="100"/>
      <c r="S210" s="100"/>
      <c r="T210" s="100"/>
      <c r="U210" s="100"/>
      <c r="V210" s="100"/>
      <c r="W210" s="100"/>
      <c r="X210" s="100"/>
      <c r="Y210" s="100"/>
      <c r="Z210" s="100"/>
      <c r="AA210" s="100"/>
      <c r="AB210" s="100"/>
      <c r="AC210" s="100"/>
    </row>
    <row r="211" ht="36.0" customHeight="1">
      <c r="A211" s="51" t="s">
        <v>574</v>
      </c>
      <c r="B211" s="62" t="str">
        <f>VLOOKUP(A211,'HECVAT - Full'!A$24:B$312,2,FALSE)</f>
        <v>Is Institution's data encrypted in storage? (e.g. disk encryption, at-rest)</v>
      </c>
      <c r="C211" s="63" t="s">
        <v>823</v>
      </c>
      <c r="D211" s="128"/>
      <c r="E211" s="126" t="s">
        <v>1025</v>
      </c>
      <c r="F211" s="63" t="s">
        <v>1028</v>
      </c>
      <c r="G211" s="129"/>
      <c r="H211" s="127"/>
      <c r="I211" s="127"/>
      <c r="J211" s="99"/>
      <c r="K211" s="100"/>
      <c r="L211" s="100"/>
      <c r="M211" s="100"/>
      <c r="N211" s="100"/>
      <c r="O211" s="100"/>
      <c r="P211" s="100"/>
      <c r="Q211" s="100"/>
      <c r="R211" s="100"/>
      <c r="S211" s="100"/>
      <c r="T211" s="100"/>
      <c r="U211" s="100"/>
      <c r="V211" s="100"/>
      <c r="W211" s="100"/>
      <c r="X211" s="100"/>
      <c r="Y211" s="100"/>
      <c r="Z211" s="100"/>
      <c r="AA211" s="100"/>
      <c r="AB211" s="100"/>
      <c r="AC211" s="100"/>
    </row>
    <row r="212" ht="48.0" customHeight="1">
      <c r="A212" s="51" t="s">
        <v>576</v>
      </c>
      <c r="B212" s="62" t="str">
        <f>VLOOKUP(A212,'HECVAT - Full'!A$24:B$312,2,FALSE)</f>
        <v>Does the mobile application support Kerberos, CAS, or Active Directory authentication?</v>
      </c>
      <c r="C212" s="63" t="s">
        <v>882</v>
      </c>
      <c r="D212" s="128"/>
      <c r="E212" s="126" t="s">
        <v>1029</v>
      </c>
      <c r="F212" s="128"/>
      <c r="G212" s="129"/>
      <c r="H212" s="127"/>
      <c r="I212" s="127"/>
      <c r="J212" s="99"/>
      <c r="K212" s="100"/>
      <c r="L212" s="100"/>
      <c r="M212" s="100"/>
      <c r="N212" s="100"/>
      <c r="O212" s="100"/>
      <c r="P212" s="100"/>
      <c r="Q212" s="100"/>
      <c r="R212" s="100"/>
      <c r="S212" s="100"/>
      <c r="T212" s="100"/>
      <c r="U212" s="100"/>
      <c r="V212" s="100"/>
      <c r="W212" s="100"/>
      <c r="X212" s="100"/>
      <c r="Y212" s="100"/>
      <c r="Z212" s="100"/>
      <c r="AA212" s="100"/>
      <c r="AB212" s="100"/>
      <c r="AC212" s="100"/>
    </row>
    <row r="213" ht="48.0" customHeight="1">
      <c r="A213" s="51" t="s">
        <v>578</v>
      </c>
      <c r="B213" s="62" t="str">
        <f>VLOOKUP(A213,'HECVAT - Full'!A$24:B$312,2,FALSE)</f>
        <v>Will any of these systems be implemented on systems hosting the Institution's data?</v>
      </c>
      <c r="C213" s="63" t="s">
        <v>882</v>
      </c>
      <c r="D213" s="128"/>
      <c r="E213" s="127"/>
      <c r="F213" s="128"/>
      <c r="G213" s="129"/>
      <c r="H213" s="127"/>
      <c r="I213" s="127"/>
      <c r="J213" s="99"/>
      <c r="K213" s="100"/>
      <c r="L213" s="100"/>
      <c r="M213" s="100"/>
      <c r="N213" s="100"/>
      <c r="O213" s="100"/>
      <c r="P213" s="100"/>
      <c r="Q213" s="100"/>
      <c r="R213" s="100"/>
      <c r="S213" s="100"/>
      <c r="T213" s="100"/>
      <c r="U213" s="100"/>
      <c r="V213" s="100"/>
      <c r="W213" s="100"/>
      <c r="X213" s="100"/>
      <c r="Y213" s="100"/>
      <c r="Z213" s="100"/>
      <c r="AA213" s="100"/>
      <c r="AB213" s="100"/>
      <c r="AC213" s="100"/>
    </row>
    <row r="214" ht="36.0" customHeight="1">
      <c r="A214" s="51" t="s">
        <v>580</v>
      </c>
      <c r="B214" s="62" t="str">
        <f>VLOOKUP(A214,'HECVAT - Full'!A$24:B$312,2,FALSE)</f>
        <v>Does the application adhere to secure coding practices (e.g. OWASP, etc.)?</v>
      </c>
      <c r="C214" s="63" t="s">
        <v>814</v>
      </c>
      <c r="D214" s="128"/>
      <c r="E214" s="126" t="s">
        <v>832</v>
      </c>
      <c r="F214" s="63" t="s">
        <v>1021</v>
      </c>
      <c r="G214" s="129"/>
      <c r="H214" s="127"/>
      <c r="I214" s="127"/>
      <c r="J214" s="99"/>
      <c r="K214" s="100"/>
      <c r="L214" s="100"/>
      <c r="M214" s="100"/>
      <c r="N214" s="100"/>
      <c r="O214" s="100"/>
      <c r="P214" s="100"/>
      <c r="Q214" s="100"/>
      <c r="R214" s="100"/>
      <c r="S214" s="100"/>
      <c r="T214" s="100"/>
      <c r="U214" s="100"/>
      <c r="V214" s="100"/>
      <c r="W214" s="100"/>
      <c r="X214" s="100"/>
      <c r="Y214" s="100"/>
      <c r="Z214" s="100"/>
      <c r="AA214" s="100"/>
      <c r="AB214" s="100"/>
      <c r="AC214" s="100"/>
    </row>
    <row r="215" ht="36.0" customHeight="1">
      <c r="A215" s="51" t="s">
        <v>582</v>
      </c>
      <c r="B215" s="62" t="str">
        <f>VLOOKUP(A215,'HECVAT - Full'!A$24:B$312,2,FALSE)</f>
        <v>Has the application been tested for vulnerabilities by a third party?</v>
      </c>
      <c r="C215" s="63" t="s">
        <v>814</v>
      </c>
      <c r="D215" s="128"/>
      <c r="E215" s="126" t="s">
        <v>1030</v>
      </c>
      <c r="F215" s="63" t="s">
        <v>1031</v>
      </c>
      <c r="G215" s="129"/>
      <c r="H215" s="127"/>
      <c r="I215" s="127"/>
      <c r="J215" s="99"/>
      <c r="K215" s="100"/>
      <c r="L215" s="100"/>
      <c r="M215" s="100"/>
      <c r="N215" s="100"/>
      <c r="O215" s="100"/>
      <c r="P215" s="100"/>
      <c r="Q215" s="100"/>
      <c r="R215" s="100"/>
      <c r="S215" s="100"/>
      <c r="T215" s="100"/>
      <c r="U215" s="100"/>
      <c r="V215" s="100"/>
      <c r="W215" s="100"/>
      <c r="X215" s="100"/>
      <c r="Y215" s="100"/>
      <c r="Z215" s="100"/>
      <c r="AA215" s="100"/>
      <c r="AB215" s="100"/>
      <c r="AC215" s="100"/>
    </row>
    <row r="216" ht="48.0" customHeight="1">
      <c r="A216" s="51" t="s">
        <v>584</v>
      </c>
      <c r="B216" s="62" t="str">
        <f>VLOOKUP(A216,'HECVAT - Full'!A$24:B$312,2,FALSE)</f>
        <v>State the party that performed the vulnerability test and the date it was conducted?</v>
      </c>
      <c r="C216" s="63" t="s">
        <v>814</v>
      </c>
      <c r="D216" s="128"/>
      <c r="E216" s="126" t="s">
        <v>1030</v>
      </c>
      <c r="F216" s="63" t="s">
        <v>1031</v>
      </c>
      <c r="G216" s="137"/>
      <c r="H216" s="127"/>
      <c r="I216" s="127"/>
      <c r="J216" s="99"/>
      <c r="K216" s="100"/>
      <c r="L216" s="100"/>
      <c r="M216" s="100"/>
      <c r="N216" s="100"/>
      <c r="O216" s="100"/>
      <c r="P216" s="100"/>
      <c r="Q216" s="100"/>
      <c r="R216" s="100"/>
      <c r="S216" s="100"/>
      <c r="T216" s="100"/>
      <c r="U216" s="100"/>
      <c r="V216" s="100"/>
      <c r="W216" s="100"/>
      <c r="X216" s="100"/>
      <c r="Y216" s="100"/>
      <c r="Z216" s="100"/>
      <c r="AA216" s="100"/>
      <c r="AB216" s="100"/>
      <c r="AC216" s="100"/>
    </row>
    <row r="217" ht="36.0" customHeight="1">
      <c r="A217" s="45" t="str">
        <f>IF($C$30="","Physical Security",IF($C$30="Yes","Physical Security - Optional based on QUALIFIER response.","Physical Security"))</f>
        <v>Physical Security</v>
      </c>
      <c r="B217" s="14"/>
      <c r="C217" s="60" t="str">
        <f>$C$22</f>
        <v>CIS Critical Security Controls v6.1</v>
      </c>
      <c r="D217" s="60" t="str">
        <f>$D$22</f>
        <v>HIPAA</v>
      </c>
      <c r="E217" s="60" t="str">
        <f>$E$22</f>
        <v>ISO 27002:2013</v>
      </c>
      <c r="F217" s="60" t="str">
        <f>$F$22</f>
        <v>NIST Cybersecurity Framework</v>
      </c>
      <c r="G217" s="60" t="str">
        <f>$G$22</f>
        <v>NIST SP 800-171r1</v>
      </c>
      <c r="H217" s="60" t="str">
        <f>$H$22</f>
        <v>NIST SP 800-53r4</v>
      </c>
      <c r="I217" s="60" t="s">
        <v>808</v>
      </c>
      <c r="J217" s="99"/>
      <c r="K217" s="100"/>
      <c r="L217" s="100"/>
      <c r="M217" s="100"/>
      <c r="N217" s="100"/>
      <c r="O217" s="100"/>
      <c r="P217" s="100"/>
      <c r="Q217" s="100"/>
      <c r="R217" s="100"/>
      <c r="S217" s="100"/>
      <c r="T217" s="100"/>
      <c r="U217" s="100"/>
      <c r="V217" s="100"/>
      <c r="W217" s="100"/>
      <c r="X217" s="100"/>
      <c r="Y217" s="100"/>
      <c r="Z217" s="100"/>
      <c r="AA217" s="100"/>
      <c r="AB217" s="100"/>
      <c r="AC217" s="100"/>
    </row>
    <row r="218" ht="63.75" customHeight="1">
      <c r="A218" s="51" t="s">
        <v>587</v>
      </c>
      <c r="B218" s="62" t="str">
        <f>VLOOKUP(A218,'HECVAT - Full'!A$24:B$312,2,FALSE)</f>
        <v>Does your organization have physical security controls and policies in place?</v>
      </c>
      <c r="C218" s="63" t="s">
        <v>990</v>
      </c>
      <c r="D218" s="135"/>
      <c r="E218" s="126" t="s">
        <v>989</v>
      </c>
      <c r="F218" s="63" t="s">
        <v>1032</v>
      </c>
      <c r="G218" s="63" t="s">
        <v>1033</v>
      </c>
      <c r="H218" s="126" t="s">
        <v>1034</v>
      </c>
      <c r="I218" s="126" t="s">
        <v>966</v>
      </c>
      <c r="J218" s="99"/>
      <c r="K218" s="100"/>
      <c r="L218" s="100"/>
      <c r="M218" s="100"/>
      <c r="N218" s="100"/>
      <c r="O218" s="100"/>
      <c r="P218" s="100"/>
      <c r="Q218" s="100"/>
      <c r="R218" s="100"/>
      <c r="S218" s="100"/>
      <c r="T218" s="100"/>
      <c r="U218" s="100"/>
      <c r="V218" s="100"/>
      <c r="W218" s="100"/>
      <c r="X218" s="100"/>
      <c r="Y218" s="100"/>
      <c r="Z218" s="100"/>
      <c r="AA218" s="100"/>
      <c r="AB218" s="100"/>
      <c r="AC218" s="100"/>
    </row>
    <row r="219" ht="36.0" customHeight="1">
      <c r="A219" s="51" t="s">
        <v>590</v>
      </c>
      <c r="B219" s="62" t="str">
        <f>VLOOKUP(A219,'HECVAT - Full'!A$24:B$312,2,FALSE)</f>
        <v>Are employees allowed to take home Institution's data in any form?</v>
      </c>
      <c r="C219" s="63" t="s">
        <v>809</v>
      </c>
      <c r="D219" s="135"/>
      <c r="E219" s="126" t="s">
        <v>1025</v>
      </c>
      <c r="F219" s="63" t="s">
        <v>1035</v>
      </c>
      <c r="G219" s="63" t="s">
        <v>1036</v>
      </c>
      <c r="H219" s="126" t="s">
        <v>1037</v>
      </c>
      <c r="I219" s="126" t="s">
        <v>1038</v>
      </c>
      <c r="J219" s="99"/>
      <c r="K219" s="100"/>
      <c r="L219" s="100"/>
      <c r="M219" s="100"/>
      <c r="N219" s="100"/>
      <c r="O219" s="100"/>
      <c r="P219" s="100"/>
      <c r="Q219" s="100"/>
      <c r="R219" s="100"/>
      <c r="S219" s="100"/>
      <c r="T219" s="100"/>
      <c r="U219" s="100"/>
      <c r="V219" s="100"/>
      <c r="W219" s="100"/>
      <c r="X219" s="100"/>
      <c r="Y219" s="100"/>
      <c r="Z219" s="100"/>
      <c r="AA219" s="100"/>
      <c r="AB219" s="100"/>
      <c r="AC219" s="100"/>
    </row>
    <row r="220" ht="36.0" customHeight="1">
      <c r="A220" s="51" t="s">
        <v>593</v>
      </c>
      <c r="B220" s="62" t="str">
        <f>VLOOKUP(A220,'HECVAT - Full'!A$24:B$312,2,FALSE)</f>
        <v>Are video monitoring feeds retained?</v>
      </c>
      <c r="C220" s="63" t="s">
        <v>990</v>
      </c>
      <c r="D220" s="135"/>
      <c r="E220" s="126" t="s">
        <v>1039</v>
      </c>
      <c r="F220" s="63" t="s">
        <v>1040</v>
      </c>
      <c r="G220" s="63" t="s">
        <v>1041</v>
      </c>
      <c r="H220" s="126" t="s">
        <v>1042</v>
      </c>
      <c r="I220" s="126" t="s">
        <v>966</v>
      </c>
      <c r="J220" s="99"/>
      <c r="K220" s="100"/>
      <c r="L220" s="100"/>
      <c r="M220" s="100"/>
      <c r="N220" s="100"/>
      <c r="O220" s="100"/>
      <c r="P220" s="100"/>
      <c r="Q220" s="100"/>
      <c r="R220" s="100"/>
      <c r="S220" s="100"/>
      <c r="T220" s="100"/>
      <c r="U220" s="100"/>
      <c r="V220" s="100"/>
      <c r="W220" s="100"/>
      <c r="X220" s="100"/>
      <c r="Y220" s="100"/>
      <c r="Z220" s="100"/>
      <c r="AA220" s="100"/>
      <c r="AB220" s="100"/>
      <c r="AC220" s="100"/>
    </row>
    <row r="221" ht="36.0" customHeight="1">
      <c r="A221" s="51" t="s">
        <v>595</v>
      </c>
      <c r="B221" s="62" t="str">
        <f>VLOOKUP(A221,'HECVAT - Full'!A$24:B$312,2,FALSE)</f>
        <v>Are video feeds monitored by datacenter staff?</v>
      </c>
      <c r="C221" s="63" t="s">
        <v>990</v>
      </c>
      <c r="D221" s="135"/>
      <c r="E221" s="126" t="s">
        <v>1043</v>
      </c>
      <c r="F221" s="63" t="s">
        <v>1040</v>
      </c>
      <c r="G221" s="63" t="s">
        <v>1041</v>
      </c>
      <c r="H221" s="126" t="s">
        <v>1042</v>
      </c>
      <c r="I221" s="126" t="s">
        <v>966</v>
      </c>
      <c r="J221" s="99"/>
      <c r="K221" s="100"/>
      <c r="L221" s="100"/>
      <c r="M221" s="100"/>
      <c r="N221" s="100"/>
      <c r="O221" s="100"/>
      <c r="P221" s="100"/>
      <c r="Q221" s="100"/>
      <c r="R221" s="100"/>
      <c r="S221" s="100"/>
      <c r="T221" s="100"/>
      <c r="U221" s="100"/>
      <c r="V221" s="100"/>
      <c r="W221" s="100"/>
      <c r="X221" s="100"/>
      <c r="Y221" s="100"/>
      <c r="Z221" s="100"/>
      <c r="AA221" s="100"/>
      <c r="AB221" s="100"/>
      <c r="AC221" s="100"/>
    </row>
    <row r="222" ht="36.0" customHeight="1">
      <c r="A222" s="51" t="s">
        <v>597</v>
      </c>
      <c r="B222" s="62" t="str">
        <f>VLOOKUP(A222,'HECVAT - Full'!A$24:B$312,2,FALSE)</f>
        <v>Are individuals required to sign in/out for installation and removal of equipment?</v>
      </c>
      <c r="C222" s="63" t="s">
        <v>823</v>
      </c>
      <c r="D222" s="135"/>
      <c r="E222" s="126" t="s">
        <v>1044</v>
      </c>
      <c r="F222" s="63" t="s">
        <v>976</v>
      </c>
      <c r="G222" s="63" t="s">
        <v>1045</v>
      </c>
      <c r="H222" s="126" t="s">
        <v>1037</v>
      </c>
      <c r="I222" s="126" t="s">
        <v>966</v>
      </c>
      <c r="J222" s="99"/>
      <c r="K222" s="100"/>
      <c r="L222" s="100"/>
      <c r="M222" s="100"/>
      <c r="N222" s="100"/>
      <c r="O222" s="100"/>
      <c r="P222" s="100"/>
      <c r="Q222" s="100"/>
      <c r="R222" s="100"/>
      <c r="S222" s="100"/>
      <c r="T222" s="100"/>
      <c r="U222" s="100"/>
      <c r="V222" s="100"/>
      <c r="W222" s="100"/>
      <c r="X222" s="100"/>
      <c r="Y222" s="100"/>
      <c r="Z222" s="100"/>
      <c r="AA222" s="100"/>
      <c r="AB222" s="100"/>
      <c r="AC222" s="100"/>
    </row>
    <row r="223" ht="36.0" customHeight="1">
      <c r="A223" s="45" t="str">
        <f>IF($C$30="","Policies, Procedures, and Processes",IF($C$30="Yes","Pol/Pro/Proc - Optional based on QUALIFIER response.","Policies, Procedures, and Processes"))</f>
        <v>Policies, Procedures, and Processes</v>
      </c>
      <c r="B223" s="14"/>
      <c r="C223" s="60" t="str">
        <f>$C$22</f>
        <v>CIS Critical Security Controls v6.1</v>
      </c>
      <c r="D223" s="60" t="str">
        <f>$D$22</f>
        <v>HIPAA</v>
      </c>
      <c r="E223" s="60" t="str">
        <f>$E$22</f>
        <v>ISO 27002:2013</v>
      </c>
      <c r="F223" s="60" t="str">
        <f>$F$22</f>
        <v>NIST Cybersecurity Framework</v>
      </c>
      <c r="G223" s="60" t="str">
        <f>$G$22</f>
        <v>NIST SP 800-171r1</v>
      </c>
      <c r="H223" s="60" t="str">
        <f>$H$22</f>
        <v>NIST SP 800-53r4</v>
      </c>
      <c r="I223" s="60" t="s">
        <v>808</v>
      </c>
      <c r="J223" s="99"/>
      <c r="K223" s="100"/>
      <c r="L223" s="100"/>
      <c r="M223" s="100"/>
      <c r="N223" s="100"/>
      <c r="O223" s="100"/>
      <c r="P223" s="100"/>
      <c r="Q223" s="100"/>
      <c r="R223" s="100"/>
      <c r="S223" s="100"/>
      <c r="T223" s="100"/>
      <c r="U223" s="100"/>
      <c r="V223" s="100"/>
      <c r="W223" s="100"/>
      <c r="X223" s="100"/>
      <c r="Y223" s="100"/>
      <c r="Z223" s="100"/>
      <c r="AA223" s="100"/>
      <c r="AB223" s="100"/>
      <c r="AC223" s="100"/>
    </row>
    <row r="224" ht="72.0" customHeight="1">
      <c r="A224" s="51" t="s">
        <v>599</v>
      </c>
      <c r="B224" s="62" t="str">
        <f>VLOOKUP(A224,'HECVAT - Full'!A$24:B$312,2,FALSE)</f>
        <v>Can you share the organization chart, mission statement, and policies for your information security unit?</v>
      </c>
      <c r="C224" s="128"/>
      <c r="D224" s="127"/>
      <c r="E224" s="126" t="s">
        <v>1046</v>
      </c>
      <c r="F224" s="63" t="s">
        <v>1047</v>
      </c>
      <c r="G224" s="63" t="s">
        <v>1048</v>
      </c>
      <c r="H224" s="126" t="s">
        <v>1049</v>
      </c>
      <c r="I224" s="126" t="s">
        <v>1050</v>
      </c>
      <c r="J224" s="99"/>
      <c r="K224" s="100"/>
      <c r="L224" s="100"/>
      <c r="M224" s="100"/>
      <c r="N224" s="100"/>
      <c r="O224" s="100"/>
      <c r="P224" s="100"/>
      <c r="Q224" s="100"/>
      <c r="R224" s="100"/>
      <c r="S224" s="100"/>
      <c r="T224" s="100"/>
      <c r="U224" s="100"/>
      <c r="V224" s="100"/>
      <c r="W224" s="100"/>
      <c r="X224" s="100"/>
      <c r="Y224" s="100"/>
      <c r="Z224" s="100"/>
      <c r="AA224" s="100"/>
      <c r="AB224" s="100"/>
      <c r="AC224" s="100"/>
    </row>
    <row r="225" ht="36.0" customHeight="1">
      <c r="A225" s="51" t="s">
        <v>602</v>
      </c>
      <c r="B225" s="62" t="str">
        <f>VLOOKUP(A225,'HECVAT - Full'!A$24:B$312,2,FALSE)</f>
        <v>Do you have a documented patch management process?</v>
      </c>
      <c r="C225" s="63" t="s">
        <v>1051</v>
      </c>
      <c r="D225" s="127"/>
      <c r="E225" s="126" t="s">
        <v>935</v>
      </c>
      <c r="F225" s="63" t="s">
        <v>1052</v>
      </c>
      <c r="G225" s="129"/>
      <c r="H225" s="126" t="s">
        <v>1053</v>
      </c>
      <c r="I225" s="126" t="s">
        <v>1054</v>
      </c>
      <c r="J225" s="99"/>
      <c r="K225" s="100"/>
      <c r="L225" s="100"/>
      <c r="M225" s="100"/>
      <c r="N225" s="100"/>
      <c r="O225" s="100"/>
      <c r="P225" s="100"/>
      <c r="Q225" s="100"/>
      <c r="R225" s="100"/>
      <c r="S225" s="100"/>
      <c r="T225" s="100"/>
      <c r="U225" s="100"/>
      <c r="V225" s="100"/>
      <c r="W225" s="100"/>
      <c r="X225" s="100"/>
      <c r="Y225" s="100"/>
      <c r="Z225" s="100"/>
      <c r="AA225" s="100"/>
      <c r="AB225" s="100"/>
      <c r="AC225" s="100"/>
    </row>
    <row r="226" ht="36.0" customHeight="1">
      <c r="A226" s="51" t="s">
        <v>605</v>
      </c>
      <c r="B226" s="62" t="str">
        <f>VLOOKUP(A226,'HECVAT - Full'!A$24:B$312,2,FALSE)</f>
        <v>Can you accommodate encryption requirements using open standards?</v>
      </c>
      <c r="C226" s="63" t="s">
        <v>809</v>
      </c>
      <c r="D226" s="127"/>
      <c r="E226" s="126" t="s">
        <v>1055</v>
      </c>
      <c r="F226" s="128"/>
      <c r="G226" s="129"/>
      <c r="H226" s="126" t="s">
        <v>1053</v>
      </c>
      <c r="I226" s="126"/>
      <c r="J226" s="99"/>
      <c r="K226" s="100"/>
      <c r="L226" s="100"/>
      <c r="M226" s="100"/>
      <c r="N226" s="100"/>
      <c r="O226" s="100"/>
      <c r="P226" s="100"/>
      <c r="Q226" s="100"/>
      <c r="R226" s="100"/>
      <c r="S226" s="100"/>
      <c r="T226" s="100"/>
      <c r="U226" s="100"/>
      <c r="V226" s="100"/>
      <c r="W226" s="100"/>
      <c r="X226" s="100"/>
      <c r="Y226" s="100"/>
      <c r="Z226" s="100"/>
      <c r="AA226" s="100"/>
      <c r="AB226" s="100"/>
      <c r="AC226" s="100"/>
    </row>
    <row r="227" ht="48.0" customHeight="1">
      <c r="A227" s="51" t="s">
        <v>607</v>
      </c>
      <c r="B227" s="62" t="str">
        <f>VLOOKUP(A227,'HECVAT - Full'!A$24:B$312,2,FALSE)</f>
        <v>Have your developers been trained in secure coding techniques?</v>
      </c>
      <c r="C227" s="63" t="s">
        <v>1056</v>
      </c>
      <c r="D227" s="127"/>
      <c r="E227" s="126" t="s">
        <v>832</v>
      </c>
      <c r="F227" s="128"/>
      <c r="G227" s="129"/>
      <c r="H227" s="126" t="s">
        <v>1053</v>
      </c>
      <c r="I227" s="126" t="s">
        <v>1057</v>
      </c>
      <c r="J227" s="99"/>
      <c r="K227" s="100"/>
      <c r="L227" s="100"/>
      <c r="M227" s="100"/>
      <c r="N227" s="100"/>
      <c r="O227" s="100"/>
      <c r="P227" s="100"/>
      <c r="Q227" s="100"/>
      <c r="R227" s="100"/>
      <c r="S227" s="100"/>
      <c r="T227" s="100"/>
      <c r="U227" s="100"/>
      <c r="V227" s="100"/>
      <c r="W227" s="100"/>
      <c r="X227" s="100"/>
      <c r="Y227" s="100"/>
      <c r="Z227" s="100"/>
      <c r="AA227" s="100"/>
      <c r="AB227" s="100"/>
      <c r="AC227" s="100"/>
    </row>
    <row r="228" ht="48.0" customHeight="1">
      <c r="A228" s="51" t="s">
        <v>609</v>
      </c>
      <c r="B228" s="62" t="str">
        <f>VLOOKUP(A228,'HECVAT - Full'!A$24:B$312,2,FALSE)</f>
        <v>Was your application developed using secure coding techniques?</v>
      </c>
      <c r="C228" s="63" t="s">
        <v>1051</v>
      </c>
      <c r="D228" s="127"/>
      <c r="E228" s="126" t="s">
        <v>832</v>
      </c>
      <c r="F228" s="128"/>
      <c r="G228" s="129"/>
      <c r="H228" s="126" t="s">
        <v>1053</v>
      </c>
      <c r="I228" s="130">
        <v>6.3</v>
      </c>
      <c r="J228" s="99"/>
      <c r="K228" s="100"/>
      <c r="L228" s="100"/>
      <c r="M228" s="100"/>
      <c r="N228" s="100"/>
      <c r="O228" s="100"/>
      <c r="P228" s="100"/>
      <c r="Q228" s="100"/>
      <c r="R228" s="100"/>
      <c r="S228" s="100"/>
      <c r="T228" s="100"/>
      <c r="U228" s="100"/>
      <c r="V228" s="100"/>
      <c r="W228" s="100"/>
      <c r="X228" s="100"/>
      <c r="Y228" s="100"/>
      <c r="Z228" s="100"/>
      <c r="AA228" s="100"/>
      <c r="AB228" s="100"/>
      <c r="AC228" s="100"/>
    </row>
    <row r="229" ht="48.0" customHeight="1">
      <c r="A229" s="51" t="s">
        <v>611</v>
      </c>
      <c r="B229" s="62" t="str">
        <f>VLOOKUP(A229,'HECVAT - Full'!A$24:B$312,2,FALSE)</f>
        <v>Do you subject your code to static code analysis and/or static application security testing prior to release?</v>
      </c>
      <c r="C229" s="63" t="s">
        <v>1051</v>
      </c>
      <c r="D229" s="127"/>
      <c r="E229" s="126" t="s">
        <v>1058</v>
      </c>
      <c r="F229" s="63" t="s">
        <v>1059</v>
      </c>
      <c r="G229" s="129"/>
      <c r="H229" s="126" t="s">
        <v>1053</v>
      </c>
      <c r="I229" s="126" t="s">
        <v>1060</v>
      </c>
      <c r="J229" s="99"/>
      <c r="K229" s="100"/>
      <c r="L229" s="100"/>
      <c r="M229" s="100"/>
      <c r="N229" s="100"/>
      <c r="O229" s="100"/>
      <c r="P229" s="100"/>
      <c r="Q229" s="100"/>
      <c r="R229" s="100"/>
      <c r="S229" s="100"/>
      <c r="T229" s="100"/>
      <c r="U229" s="100"/>
      <c r="V229" s="100"/>
      <c r="W229" s="100"/>
      <c r="X229" s="100"/>
      <c r="Y229" s="100"/>
      <c r="Z229" s="100"/>
      <c r="AA229" s="100"/>
      <c r="AB229" s="100"/>
      <c r="AC229" s="100"/>
    </row>
    <row r="230" ht="84.0" customHeight="1">
      <c r="A230" s="51" t="s">
        <v>614</v>
      </c>
      <c r="B230" s="62" t="str">
        <f>VLOOKUP(A230,'HECVAT - Full'!A$24:B$312,2,FALSE)</f>
        <v>Do you have software testing processes (dynamic or static) that are established and followed?</v>
      </c>
      <c r="C230" s="63" t="s">
        <v>1051</v>
      </c>
      <c r="D230" s="127"/>
      <c r="E230" s="126" t="s">
        <v>1061</v>
      </c>
      <c r="F230" s="63" t="s">
        <v>1062</v>
      </c>
      <c r="G230" s="63" t="s">
        <v>913</v>
      </c>
      <c r="H230" s="126" t="s">
        <v>1053</v>
      </c>
      <c r="I230" s="126" t="s">
        <v>1063</v>
      </c>
      <c r="J230" s="99"/>
      <c r="K230" s="100"/>
      <c r="L230" s="100"/>
      <c r="M230" s="100"/>
      <c r="N230" s="100"/>
      <c r="O230" s="100"/>
      <c r="P230" s="100"/>
      <c r="Q230" s="100"/>
      <c r="R230" s="100"/>
      <c r="S230" s="100"/>
      <c r="T230" s="100"/>
      <c r="U230" s="100"/>
      <c r="V230" s="100"/>
      <c r="W230" s="100"/>
      <c r="X230" s="100"/>
      <c r="Y230" s="100"/>
      <c r="Z230" s="100"/>
      <c r="AA230" s="100"/>
      <c r="AB230" s="100"/>
      <c r="AC230" s="100"/>
    </row>
    <row r="231" ht="48.0" customHeight="1">
      <c r="A231" s="51" t="s">
        <v>617</v>
      </c>
      <c r="B231" s="62" t="str">
        <f>VLOOKUP(A231,'HECVAT - Full'!A$24:B$312,2,FALSE)</f>
        <v>Are information security principles designed into the product lifecycle?</v>
      </c>
      <c r="C231" s="63" t="s">
        <v>1051</v>
      </c>
      <c r="D231" s="127"/>
      <c r="E231" s="126" t="s">
        <v>832</v>
      </c>
      <c r="F231" s="128"/>
      <c r="G231" s="63" t="s">
        <v>1064</v>
      </c>
      <c r="H231" s="126" t="s">
        <v>1053</v>
      </c>
      <c r="I231" s="126" t="s">
        <v>1065</v>
      </c>
      <c r="J231" s="99"/>
      <c r="K231" s="100"/>
      <c r="L231" s="100"/>
      <c r="M231" s="100"/>
      <c r="N231" s="100"/>
      <c r="O231" s="100"/>
      <c r="P231" s="100"/>
      <c r="Q231" s="100"/>
      <c r="R231" s="100"/>
      <c r="S231" s="100"/>
      <c r="T231" s="100"/>
      <c r="U231" s="100"/>
      <c r="V231" s="100"/>
      <c r="W231" s="100"/>
      <c r="X231" s="100"/>
      <c r="Y231" s="100"/>
      <c r="Z231" s="100"/>
      <c r="AA231" s="100"/>
      <c r="AB231" s="100"/>
      <c r="AC231" s="100"/>
    </row>
    <row r="232" ht="36.0" customHeight="1">
      <c r="A232" s="51" t="s">
        <v>620</v>
      </c>
      <c r="B232" s="62" t="str">
        <f>VLOOKUP(A232,'HECVAT - Full'!A$24:B$312,2,FALSE)</f>
        <v>Do you have a documented systems development life cycle (SDLC)?</v>
      </c>
      <c r="C232" s="63" t="s">
        <v>1051</v>
      </c>
      <c r="D232" s="127"/>
      <c r="E232" s="126" t="s">
        <v>832</v>
      </c>
      <c r="F232" s="63" t="s">
        <v>1066</v>
      </c>
      <c r="G232" s="129"/>
      <c r="H232" s="126" t="s">
        <v>1067</v>
      </c>
      <c r="I232" s="126" t="s">
        <v>1060</v>
      </c>
      <c r="J232" s="99"/>
      <c r="K232" s="100"/>
      <c r="L232" s="100"/>
      <c r="M232" s="100"/>
      <c r="N232" s="100"/>
      <c r="O232" s="100"/>
      <c r="P232" s="100"/>
      <c r="Q232" s="100"/>
      <c r="R232" s="100"/>
      <c r="S232" s="100"/>
      <c r="T232" s="100"/>
      <c r="U232" s="100"/>
      <c r="V232" s="100"/>
      <c r="W232" s="100"/>
      <c r="X232" s="100"/>
      <c r="Y232" s="100"/>
      <c r="Z232" s="100"/>
      <c r="AA232" s="100"/>
      <c r="AB232" s="100"/>
      <c r="AC232" s="100"/>
    </row>
    <row r="233" ht="36.0" customHeight="1">
      <c r="A233" s="51" t="s">
        <v>623</v>
      </c>
      <c r="B233" s="62" t="str">
        <f>VLOOKUP(A233,'HECVAT - Full'!A$24:B$312,2,FALSE)</f>
        <v>Do you have a formal incident response plan?</v>
      </c>
      <c r="C233" s="63" t="s">
        <v>1009</v>
      </c>
      <c r="D233" s="127"/>
      <c r="E233" s="126" t="s">
        <v>1068</v>
      </c>
      <c r="F233" s="63" t="s">
        <v>819</v>
      </c>
      <c r="G233" s="63" t="s">
        <v>1069</v>
      </c>
      <c r="H233" s="126" t="s">
        <v>1070</v>
      </c>
      <c r="I233" s="126" t="s">
        <v>1071</v>
      </c>
      <c r="J233" s="99"/>
      <c r="K233" s="100"/>
      <c r="L233" s="100"/>
      <c r="M233" s="100"/>
      <c r="N233" s="100"/>
      <c r="O233" s="100"/>
      <c r="P233" s="100"/>
      <c r="Q233" s="100"/>
      <c r="R233" s="100"/>
      <c r="S233" s="100"/>
      <c r="T233" s="100"/>
      <c r="U233" s="100"/>
      <c r="V233" s="100"/>
      <c r="W233" s="100"/>
      <c r="X233" s="100"/>
      <c r="Y233" s="100"/>
      <c r="Z233" s="100"/>
      <c r="AA233" s="100"/>
      <c r="AB233" s="100"/>
      <c r="AC233" s="100"/>
    </row>
    <row r="234" ht="36.0" customHeight="1">
      <c r="A234" s="51" t="s">
        <v>626</v>
      </c>
      <c r="B234" s="62" t="str">
        <f>VLOOKUP(A234,'HECVAT - Full'!A$24:B$312,2,FALSE)</f>
        <v>Will you comply with applicable breach notification laws?</v>
      </c>
      <c r="C234" s="63" t="s">
        <v>1009</v>
      </c>
      <c r="D234" s="127"/>
      <c r="E234" s="126" t="s">
        <v>811</v>
      </c>
      <c r="F234" s="63" t="s">
        <v>812</v>
      </c>
      <c r="G234" s="63" t="s">
        <v>1072</v>
      </c>
      <c r="H234" s="126" t="s">
        <v>1073</v>
      </c>
      <c r="I234" s="130">
        <v>12.8</v>
      </c>
      <c r="J234" s="99"/>
      <c r="K234" s="100"/>
      <c r="L234" s="100"/>
      <c r="M234" s="100"/>
      <c r="N234" s="100"/>
      <c r="O234" s="100"/>
      <c r="P234" s="100"/>
      <c r="Q234" s="100"/>
      <c r="R234" s="100"/>
      <c r="S234" s="100"/>
      <c r="T234" s="100"/>
      <c r="U234" s="100"/>
      <c r="V234" s="100"/>
      <c r="W234" s="100"/>
      <c r="X234" s="100"/>
      <c r="Y234" s="100"/>
      <c r="Z234" s="100"/>
      <c r="AA234" s="100"/>
      <c r="AB234" s="100"/>
      <c r="AC234" s="100"/>
    </row>
    <row r="235" ht="48.0" customHeight="1">
      <c r="A235" s="51" t="s">
        <v>628</v>
      </c>
      <c r="B235" s="62" t="str">
        <f>VLOOKUP(A235,'HECVAT - Full'!A$24:B$312,2,FALSE)</f>
        <v>Will you comply with the Institution's IT policies with regards to user privacy and data protection?</v>
      </c>
      <c r="C235" s="63" t="s">
        <v>809</v>
      </c>
      <c r="D235" s="127"/>
      <c r="E235" s="126" t="s">
        <v>811</v>
      </c>
      <c r="F235" s="128"/>
      <c r="G235" s="63" t="s">
        <v>1005</v>
      </c>
      <c r="H235" s="126" t="s">
        <v>1074</v>
      </c>
      <c r="I235" s="130">
        <v>12.8</v>
      </c>
      <c r="J235" s="99"/>
      <c r="K235" s="100"/>
      <c r="L235" s="100"/>
      <c r="M235" s="100"/>
      <c r="N235" s="100"/>
      <c r="O235" s="100"/>
      <c r="P235" s="100"/>
      <c r="Q235" s="100"/>
      <c r="R235" s="100"/>
      <c r="S235" s="100"/>
      <c r="T235" s="100"/>
      <c r="U235" s="100"/>
      <c r="V235" s="100"/>
      <c r="W235" s="100"/>
      <c r="X235" s="100"/>
      <c r="Y235" s="100"/>
      <c r="Z235" s="100"/>
      <c r="AA235" s="100"/>
      <c r="AB235" s="100"/>
      <c r="AC235" s="100"/>
    </row>
    <row r="236" ht="36.0" customHeight="1">
      <c r="A236" s="51" t="s">
        <v>630</v>
      </c>
      <c r="B236" s="62" t="str">
        <f>VLOOKUP(A236,'HECVAT - Full'!A$24:B$312,2,FALSE)</f>
        <v>Is your company subject to Institution's Data Zone laws and regulations?</v>
      </c>
      <c r="C236" s="63" t="s">
        <v>1009</v>
      </c>
      <c r="D236" s="127"/>
      <c r="E236" s="126" t="s">
        <v>811</v>
      </c>
      <c r="F236" s="63" t="s">
        <v>812</v>
      </c>
      <c r="G236" s="129"/>
      <c r="H236" s="126" t="s">
        <v>1053</v>
      </c>
      <c r="I236" s="126"/>
      <c r="J236" s="99"/>
      <c r="K236" s="100"/>
      <c r="L236" s="100"/>
      <c r="M236" s="100"/>
      <c r="N236" s="100"/>
      <c r="O236" s="100"/>
      <c r="P236" s="100"/>
      <c r="Q236" s="100"/>
      <c r="R236" s="100"/>
      <c r="S236" s="100"/>
      <c r="T236" s="100"/>
      <c r="U236" s="100"/>
      <c r="V236" s="100"/>
      <c r="W236" s="100"/>
      <c r="X236" s="100"/>
      <c r="Y236" s="100"/>
      <c r="Z236" s="100"/>
      <c r="AA236" s="100"/>
      <c r="AB236" s="100"/>
      <c r="AC236" s="100"/>
    </row>
    <row r="237" ht="48.0" customHeight="1">
      <c r="A237" s="51" t="s">
        <v>632</v>
      </c>
      <c r="B237" s="62" t="str">
        <f>VLOOKUP(A237,'HECVAT - Full'!A$24:B$312,2,FALSE)</f>
        <v>Do you perform background screenings or multi-state background checks on all employees prior to their first day of work?</v>
      </c>
      <c r="C237" s="63" t="s">
        <v>877</v>
      </c>
      <c r="D237" s="127"/>
      <c r="E237" s="126" t="s">
        <v>1075</v>
      </c>
      <c r="F237" s="63" t="s">
        <v>1076</v>
      </c>
      <c r="G237" s="63" t="s">
        <v>1077</v>
      </c>
      <c r="H237" s="126" t="s">
        <v>1078</v>
      </c>
      <c r="I237" s="130">
        <v>12.7</v>
      </c>
      <c r="J237" s="99"/>
      <c r="K237" s="100"/>
      <c r="L237" s="100"/>
      <c r="M237" s="100"/>
      <c r="N237" s="100"/>
      <c r="O237" s="100"/>
      <c r="P237" s="100"/>
      <c r="Q237" s="100"/>
      <c r="R237" s="100"/>
      <c r="S237" s="100"/>
      <c r="T237" s="100"/>
      <c r="U237" s="100"/>
      <c r="V237" s="100"/>
      <c r="W237" s="100"/>
      <c r="X237" s="100"/>
      <c r="Y237" s="100"/>
      <c r="Z237" s="100"/>
      <c r="AA237" s="100"/>
      <c r="AB237" s="100"/>
      <c r="AC237" s="100"/>
    </row>
    <row r="238" ht="36.0" customHeight="1">
      <c r="A238" s="51" t="s">
        <v>634</v>
      </c>
      <c r="B238" s="62" t="str">
        <f>VLOOKUP(A238,'HECVAT - Full'!A$24:B$312,2,FALSE)</f>
        <v>Do you require new employees to fill out agreements and review policies?  </v>
      </c>
      <c r="C238" s="63" t="s">
        <v>1079</v>
      </c>
      <c r="D238" s="127"/>
      <c r="E238" s="126" t="s">
        <v>1080</v>
      </c>
      <c r="F238" s="63" t="s">
        <v>1076</v>
      </c>
      <c r="G238" s="129"/>
      <c r="H238" s="126" t="s">
        <v>1053</v>
      </c>
      <c r="I238" s="126" t="s">
        <v>1081</v>
      </c>
      <c r="J238" s="99"/>
      <c r="K238" s="100"/>
      <c r="L238" s="100"/>
      <c r="M238" s="100"/>
      <c r="N238" s="100"/>
      <c r="O238" s="100"/>
      <c r="P238" s="100"/>
      <c r="Q238" s="100"/>
      <c r="R238" s="100"/>
      <c r="S238" s="100"/>
      <c r="T238" s="100"/>
      <c r="U238" s="100"/>
      <c r="V238" s="100"/>
      <c r="W238" s="100"/>
      <c r="X238" s="100"/>
      <c r="Y238" s="100"/>
      <c r="Z238" s="100"/>
      <c r="AA238" s="100"/>
      <c r="AB238" s="100"/>
      <c r="AC238" s="100"/>
    </row>
    <row r="239" ht="48.0" customHeight="1">
      <c r="A239" s="51" t="s">
        <v>636</v>
      </c>
      <c r="B239" s="62" t="str">
        <f>VLOOKUP(A239,'HECVAT - Full'!A$24:B$312,2,FALSE)</f>
        <v>Do you have documented information security policy?</v>
      </c>
      <c r="C239" s="63" t="s">
        <v>1079</v>
      </c>
      <c r="D239" s="126" t="s">
        <v>829</v>
      </c>
      <c r="E239" s="126" t="s">
        <v>1046</v>
      </c>
      <c r="F239" s="63" t="s">
        <v>812</v>
      </c>
      <c r="G239" s="129"/>
      <c r="H239" s="126" t="s">
        <v>1053</v>
      </c>
      <c r="I239" s="126" t="s">
        <v>1082</v>
      </c>
      <c r="J239" s="99"/>
      <c r="K239" s="100"/>
      <c r="L239" s="100"/>
      <c r="M239" s="100"/>
      <c r="N239" s="100"/>
      <c r="O239" s="100"/>
      <c r="P239" s="100"/>
      <c r="Q239" s="100"/>
      <c r="R239" s="100"/>
      <c r="S239" s="100"/>
      <c r="T239" s="100"/>
      <c r="U239" s="100"/>
      <c r="V239" s="100"/>
      <c r="W239" s="100"/>
      <c r="X239" s="100"/>
      <c r="Y239" s="100"/>
      <c r="Z239" s="100"/>
      <c r="AA239" s="100"/>
      <c r="AB239" s="100"/>
      <c r="AC239" s="100"/>
    </row>
    <row r="240" ht="48.0" customHeight="1">
      <c r="A240" s="51" t="s">
        <v>639</v>
      </c>
      <c r="B240" s="62" t="str">
        <f>VLOOKUP(A240,'HECVAT - Full'!A$24:B$312,2,FALSE)</f>
        <v>Do you have an information security awareness program?</v>
      </c>
      <c r="C240" s="63" t="s">
        <v>1079</v>
      </c>
      <c r="D240" s="126" t="s">
        <v>1083</v>
      </c>
      <c r="E240" s="126" t="s">
        <v>1084</v>
      </c>
      <c r="F240" s="63" t="s">
        <v>1085</v>
      </c>
      <c r="G240" s="63" t="s">
        <v>1086</v>
      </c>
      <c r="H240" s="126" t="s">
        <v>1087</v>
      </c>
      <c r="I240" s="130">
        <v>12.6</v>
      </c>
      <c r="J240" s="99"/>
      <c r="K240" s="100"/>
      <c r="L240" s="100"/>
      <c r="M240" s="100"/>
      <c r="N240" s="100"/>
      <c r="O240" s="100"/>
      <c r="P240" s="100"/>
      <c r="Q240" s="100"/>
      <c r="R240" s="100"/>
      <c r="S240" s="100"/>
      <c r="T240" s="100"/>
      <c r="U240" s="100"/>
      <c r="V240" s="100"/>
      <c r="W240" s="100"/>
      <c r="X240" s="100"/>
      <c r="Y240" s="100"/>
      <c r="Z240" s="100"/>
      <c r="AA240" s="100"/>
      <c r="AB240" s="100"/>
      <c r="AC240" s="100"/>
    </row>
    <row r="241" ht="48.0" customHeight="1">
      <c r="A241" s="51" t="s">
        <v>642</v>
      </c>
      <c r="B241" s="62" t="str">
        <f>VLOOKUP(A241,'HECVAT - Full'!A$24:B$312,2,FALSE)</f>
        <v>Is security awareness training mandatory for all employees?</v>
      </c>
      <c r="C241" s="63" t="s">
        <v>1079</v>
      </c>
      <c r="D241" s="126" t="s">
        <v>1083</v>
      </c>
      <c r="E241" s="126" t="s">
        <v>1084</v>
      </c>
      <c r="F241" s="63" t="s">
        <v>1085</v>
      </c>
      <c r="G241" s="63" t="s">
        <v>1088</v>
      </c>
      <c r="H241" s="126" t="s">
        <v>1089</v>
      </c>
      <c r="I241" s="130">
        <v>12.6</v>
      </c>
      <c r="J241" s="99"/>
      <c r="K241" s="100"/>
      <c r="L241" s="100"/>
      <c r="M241" s="100"/>
      <c r="N241" s="100"/>
      <c r="O241" s="100"/>
      <c r="P241" s="100"/>
      <c r="Q241" s="100"/>
      <c r="R241" s="100"/>
      <c r="S241" s="100"/>
      <c r="T241" s="100"/>
      <c r="U241" s="100"/>
      <c r="V241" s="100"/>
      <c r="W241" s="100"/>
      <c r="X241" s="100"/>
      <c r="Y241" s="100"/>
      <c r="Z241" s="100"/>
      <c r="AA241" s="100"/>
      <c r="AB241" s="100"/>
      <c r="AC241" s="100"/>
    </row>
    <row r="242" ht="48.0" customHeight="1">
      <c r="A242" s="51" t="s">
        <v>645</v>
      </c>
      <c r="B242" s="62" t="str">
        <f>VLOOKUP(A242,'HECVAT - Full'!A$24:B$312,2,FALSE)</f>
        <v>Do you have process and procedure(s) documented, and currently followed, that require a review and update of the access-list(s) for privileged accounts?</v>
      </c>
      <c r="C242" s="63" t="s">
        <v>1079</v>
      </c>
      <c r="D242" s="127"/>
      <c r="E242" s="126" t="s">
        <v>1090</v>
      </c>
      <c r="F242" s="63" t="s">
        <v>857</v>
      </c>
      <c r="G242" s="63" t="s">
        <v>1091</v>
      </c>
      <c r="H242" s="126" t="s">
        <v>1053</v>
      </c>
      <c r="I242" s="126" t="s">
        <v>1092</v>
      </c>
      <c r="J242" s="99"/>
      <c r="K242" s="100"/>
      <c r="L242" s="100"/>
      <c r="M242" s="100"/>
      <c r="N242" s="100"/>
      <c r="O242" s="100"/>
      <c r="P242" s="100"/>
      <c r="Q242" s="100"/>
      <c r="R242" s="100"/>
      <c r="S242" s="100"/>
      <c r="T242" s="100"/>
      <c r="U242" s="100"/>
      <c r="V242" s="100"/>
      <c r="W242" s="100"/>
      <c r="X242" s="100"/>
      <c r="Y242" s="100"/>
      <c r="Z242" s="100"/>
      <c r="AA242" s="100"/>
      <c r="AB242" s="100"/>
      <c r="AC242" s="100"/>
    </row>
    <row r="243" ht="69.75" customHeight="1">
      <c r="A243" s="51" t="s">
        <v>648</v>
      </c>
      <c r="B243" s="62" t="str">
        <f>VLOOKUP(A243,'HECVAT - Full'!A$24:B$312,2,FALSE)</f>
        <v>Do you have documented, and currently implemented, internal audit processes and procedures?</v>
      </c>
      <c r="C243" s="128"/>
      <c r="D243" s="127"/>
      <c r="E243" s="126" t="s">
        <v>1093</v>
      </c>
      <c r="F243" s="128"/>
      <c r="G243" s="129"/>
      <c r="H243" s="126" t="s">
        <v>1094</v>
      </c>
      <c r="I243" s="132"/>
      <c r="J243" s="99"/>
      <c r="K243" s="100"/>
      <c r="L243" s="100"/>
      <c r="M243" s="100"/>
      <c r="N243" s="100"/>
      <c r="O243" s="100"/>
      <c r="P243" s="100"/>
      <c r="Q243" s="100"/>
      <c r="R243" s="100"/>
      <c r="S243" s="100"/>
      <c r="T243" s="100"/>
      <c r="U243" s="100"/>
      <c r="V243" s="100"/>
      <c r="W243" s="100"/>
      <c r="X243" s="100"/>
      <c r="Y243" s="100"/>
      <c r="Z243" s="100"/>
      <c r="AA243" s="100"/>
      <c r="AB243" s="100"/>
      <c r="AC243" s="100"/>
    </row>
    <row r="244" ht="36.0" customHeight="1">
      <c r="A244" s="45" t="str">
        <f>IF($C$30="","Product Evaluation",IF($C$30="Yes","Product Evaluation - Optional based on QUALIFIER response.","Product Evaluation"))</f>
        <v>Product Evaluation</v>
      </c>
      <c r="B244" s="14"/>
      <c r="C244" s="60" t="str">
        <f>$C$22</f>
        <v>CIS Critical Security Controls v6.1</v>
      </c>
      <c r="D244" s="60" t="str">
        <f>$D$22</f>
        <v>HIPAA</v>
      </c>
      <c r="E244" s="60" t="str">
        <f>$E$22</f>
        <v>ISO 27002:2013</v>
      </c>
      <c r="F244" s="60" t="str">
        <f>$F$22</f>
        <v>NIST Cybersecurity Framework</v>
      </c>
      <c r="G244" s="60" t="str">
        <f>$G$22</f>
        <v>NIST SP 800-171r1</v>
      </c>
      <c r="H244" s="60" t="str">
        <f>$H$22</f>
        <v>NIST SP 800-53r4</v>
      </c>
      <c r="I244" s="60" t="s">
        <v>808</v>
      </c>
      <c r="J244" s="99"/>
      <c r="K244" s="100"/>
      <c r="L244" s="100"/>
      <c r="M244" s="100"/>
      <c r="N244" s="100"/>
      <c r="O244" s="100"/>
      <c r="P244" s="100"/>
      <c r="Q244" s="100"/>
      <c r="R244" s="100"/>
      <c r="S244" s="100"/>
      <c r="T244" s="100"/>
      <c r="U244" s="100"/>
      <c r="V244" s="100"/>
      <c r="W244" s="100"/>
      <c r="X244" s="100"/>
      <c r="Y244" s="100"/>
      <c r="Z244" s="100"/>
      <c r="AA244" s="100"/>
      <c r="AB244" s="100"/>
      <c r="AC244" s="100"/>
    </row>
    <row r="245" ht="48.0" customHeight="1">
      <c r="A245" s="51" t="s">
        <v>651</v>
      </c>
      <c r="B245" s="62" t="str">
        <f>VLOOKUP(A245,'HECVAT - Full'!A$24:B$312,2,FALSE)</f>
        <v>Do you incorporate customer feedback into security feature requests?</v>
      </c>
      <c r="C245" s="128"/>
      <c r="D245" s="128"/>
      <c r="E245" s="136"/>
      <c r="F245" s="128"/>
      <c r="G245" s="129"/>
      <c r="H245" s="136"/>
      <c r="I245" s="128"/>
      <c r="J245" s="99"/>
      <c r="K245" s="100"/>
      <c r="L245" s="100"/>
      <c r="M245" s="100"/>
      <c r="N245" s="100"/>
      <c r="O245" s="100"/>
      <c r="P245" s="100"/>
      <c r="Q245" s="100"/>
      <c r="R245" s="100"/>
      <c r="S245" s="100"/>
      <c r="T245" s="100"/>
      <c r="U245" s="100"/>
      <c r="V245" s="100"/>
      <c r="W245" s="100"/>
      <c r="X245" s="100"/>
      <c r="Y245" s="100"/>
      <c r="Z245" s="100"/>
      <c r="AA245" s="100"/>
      <c r="AB245" s="100"/>
      <c r="AC245" s="100"/>
    </row>
    <row r="246" ht="36.0" customHeight="1">
      <c r="A246" s="51" t="s">
        <v>654</v>
      </c>
      <c r="B246" s="62" t="str">
        <f>VLOOKUP(A246,'HECVAT - Full'!A$24:B$312,2,FALSE)</f>
        <v>Can you provide an evaluation site to the institution for testing?</v>
      </c>
      <c r="C246" s="128"/>
      <c r="D246" s="128"/>
      <c r="E246" s="136"/>
      <c r="F246" s="63" t="s">
        <v>1062</v>
      </c>
      <c r="G246" s="129"/>
      <c r="H246" s="136"/>
      <c r="I246" s="128"/>
      <c r="J246" s="99"/>
      <c r="K246" s="100"/>
      <c r="L246" s="100"/>
      <c r="M246" s="100"/>
      <c r="N246" s="100"/>
      <c r="O246" s="100"/>
      <c r="P246" s="100"/>
      <c r="Q246" s="100"/>
      <c r="R246" s="100"/>
      <c r="S246" s="100"/>
      <c r="T246" s="100"/>
      <c r="U246" s="100"/>
      <c r="V246" s="100"/>
      <c r="W246" s="100"/>
      <c r="X246" s="100"/>
      <c r="Y246" s="100"/>
      <c r="Z246" s="100"/>
      <c r="AA246" s="100"/>
      <c r="AB246" s="100"/>
      <c r="AC246" s="100"/>
    </row>
    <row r="247" ht="36.0" customHeight="1">
      <c r="A247" s="45" t="str">
        <f>IF($C$30="","Quality Assurance",IF($C$30="Yes","Quality Assurance - Optional based on QUALIFIER response.","Quality Assurance"))</f>
        <v>Quality Assurance</v>
      </c>
      <c r="B247" s="14"/>
      <c r="C247" s="60" t="str">
        <f>$C$22</f>
        <v>CIS Critical Security Controls v6.1</v>
      </c>
      <c r="D247" s="60" t="str">
        <f>$D$22</f>
        <v>HIPAA</v>
      </c>
      <c r="E247" s="60" t="str">
        <f>$E$22</f>
        <v>ISO 27002:2013</v>
      </c>
      <c r="F247" s="60" t="str">
        <f>$F$22</f>
        <v>NIST Cybersecurity Framework</v>
      </c>
      <c r="G247" s="60" t="str">
        <f>$G$22</f>
        <v>NIST SP 800-171r1</v>
      </c>
      <c r="H247" s="60" t="str">
        <f>$H$22</f>
        <v>NIST SP 800-53r4</v>
      </c>
      <c r="I247" s="60" t="s">
        <v>808</v>
      </c>
      <c r="J247" s="99"/>
      <c r="K247" s="100"/>
      <c r="L247" s="100"/>
      <c r="M247" s="100"/>
      <c r="N247" s="100"/>
      <c r="O247" s="100"/>
      <c r="P247" s="100"/>
      <c r="Q247" s="100"/>
      <c r="R247" s="100"/>
      <c r="S247" s="100"/>
      <c r="T247" s="100"/>
      <c r="U247" s="100"/>
      <c r="V247" s="100"/>
      <c r="W247" s="100"/>
      <c r="X247" s="100"/>
      <c r="Y247" s="100"/>
      <c r="Z247" s="100"/>
      <c r="AA247" s="100"/>
      <c r="AB247" s="100"/>
      <c r="AC247" s="100"/>
    </row>
    <row r="248" ht="48.0" customHeight="1">
      <c r="A248" s="51" t="s">
        <v>657</v>
      </c>
      <c r="B248" s="62" t="str">
        <f>VLOOKUP(A248,'HECVAT - Full'!A$24:B$312,2,FALSE)</f>
        <v>Provide a general summary of your Quality Assurance program.</v>
      </c>
      <c r="C248" s="63" t="s">
        <v>809</v>
      </c>
      <c r="D248" s="128"/>
      <c r="E248" s="136"/>
      <c r="F248" s="136"/>
      <c r="G248" s="137"/>
      <c r="H248" s="136"/>
      <c r="I248" s="128"/>
      <c r="J248" s="99"/>
      <c r="K248" s="100"/>
      <c r="L248" s="100"/>
      <c r="M248" s="100"/>
      <c r="N248" s="100"/>
      <c r="O248" s="100"/>
      <c r="P248" s="100"/>
      <c r="Q248" s="100"/>
      <c r="R248" s="100"/>
      <c r="S248" s="100"/>
      <c r="T248" s="100"/>
      <c r="U248" s="100"/>
      <c r="V248" s="100"/>
      <c r="W248" s="100"/>
      <c r="X248" s="100"/>
      <c r="Y248" s="100"/>
      <c r="Z248" s="100"/>
      <c r="AA248" s="100"/>
      <c r="AB248" s="100"/>
      <c r="AC248" s="100"/>
    </row>
    <row r="249" ht="36.0" customHeight="1">
      <c r="A249" s="51" t="s">
        <v>661</v>
      </c>
      <c r="B249" s="62" t="str">
        <f>VLOOKUP(A249,'HECVAT - Full'!A$24:B$312,2,FALSE)</f>
        <v>Do you comply with ISO 9001?</v>
      </c>
      <c r="C249" s="63" t="s">
        <v>809</v>
      </c>
      <c r="D249" s="128"/>
      <c r="E249" s="126" t="s">
        <v>811</v>
      </c>
      <c r="F249" s="128"/>
      <c r="G249" s="129"/>
      <c r="H249" s="136"/>
      <c r="I249" s="128"/>
      <c r="J249" s="99"/>
      <c r="K249" s="100"/>
      <c r="L249" s="100"/>
      <c r="M249" s="100"/>
      <c r="N249" s="100"/>
      <c r="O249" s="100"/>
      <c r="P249" s="100"/>
      <c r="Q249" s="100"/>
      <c r="R249" s="100"/>
      <c r="S249" s="100"/>
      <c r="T249" s="100"/>
      <c r="U249" s="100"/>
      <c r="V249" s="100"/>
      <c r="W249" s="100"/>
      <c r="X249" s="100"/>
      <c r="Y249" s="100"/>
      <c r="Z249" s="100"/>
      <c r="AA249" s="100"/>
      <c r="AB249" s="100"/>
      <c r="AC249" s="100"/>
    </row>
    <row r="250" ht="52.5" customHeight="1">
      <c r="A250" s="51" t="s">
        <v>664</v>
      </c>
      <c r="B250" s="62" t="str">
        <f>VLOOKUP(A250,'HECVAT - Full'!A$24:B$312,2,FALSE)</f>
        <v>Will your company provide quality and performance metrics in relation to the scope of services and performance expectations for the services you are offering?</v>
      </c>
      <c r="C250" s="63" t="s">
        <v>809</v>
      </c>
      <c r="D250" s="128"/>
      <c r="E250" s="136"/>
      <c r="F250" s="128"/>
      <c r="G250" s="129"/>
      <c r="H250" s="136"/>
      <c r="I250" s="128"/>
      <c r="J250" s="99"/>
      <c r="K250" s="100"/>
      <c r="L250" s="100"/>
      <c r="M250" s="100"/>
      <c r="N250" s="100"/>
      <c r="O250" s="100"/>
      <c r="P250" s="100"/>
      <c r="Q250" s="100"/>
      <c r="R250" s="100"/>
      <c r="S250" s="100"/>
      <c r="T250" s="100"/>
      <c r="U250" s="100"/>
      <c r="V250" s="100"/>
      <c r="W250" s="100"/>
      <c r="X250" s="100"/>
      <c r="Y250" s="100"/>
      <c r="Z250" s="100"/>
      <c r="AA250" s="100"/>
      <c r="AB250" s="100"/>
      <c r="AC250" s="100"/>
    </row>
    <row r="251" ht="52.5" customHeight="1">
      <c r="A251" s="51" t="s">
        <v>667</v>
      </c>
      <c r="B251" s="62" t="str">
        <f>VLOOKUP(A251,'HECVAT - Full'!A$24:B$312,2,FALSE)</f>
        <v>Have you supplied products and/or services to the Institution (or its Campuses) in the last five years?</v>
      </c>
      <c r="C251" s="128"/>
      <c r="D251" s="128"/>
      <c r="E251" s="136"/>
      <c r="F251" s="128"/>
      <c r="G251" s="129"/>
      <c r="H251" s="136"/>
      <c r="I251" s="128"/>
      <c r="J251" s="99"/>
      <c r="K251" s="100"/>
      <c r="L251" s="100"/>
      <c r="M251" s="100"/>
      <c r="N251" s="100"/>
      <c r="O251" s="100"/>
      <c r="P251" s="100"/>
      <c r="Q251" s="100"/>
      <c r="R251" s="100"/>
      <c r="S251" s="100"/>
      <c r="T251" s="100"/>
      <c r="U251" s="100"/>
      <c r="V251" s="100"/>
      <c r="W251" s="100"/>
      <c r="X251" s="100"/>
      <c r="Y251" s="100"/>
      <c r="Z251" s="100"/>
      <c r="AA251" s="100"/>
      <c r="AB251" s="100"/>
      <c r="AC251" s="100"/>
    </row>
    <row r="252" ht="48.0" customHeight="1">
      <c r="A252" s="51" t="s">
        <v>669</v>
      </c>
      <c r="B252" s="62" t="str">
        <f>VLOOKUP(A252,'HECVAT - Full'!A$24:B$312,2,FALSE)</f>
        <v>Do you have a program to keep your customers abreast of higher education and/or industry issues?</v>
      </c>
      <c r="C252" s="63" t="s">
        <v>1079</v>
      </c>
      <c r="D252" s="128"/>
      <c r="E252" s="136"/>
      <c r="F252" s="128"/>
      <c r="G252" s="129"/>
      <c r="H252" s="136"/>
      <c r="I252" s="128"/>
      <c r="J252" s="99"/>
      <c r="K252" s="100"/>
      <c r="L252" s="100"/>
      <c r="M252" s="100"/>
      <c r="N252" s="100"/>
      <c r="O252" s="100"/>
      <c r="P252" s="100"/>
      <c r="Q252" s="100"/>
      <c r="R252" s="100"/>
      <c r="S252" s="100"/>
      <c r="T252" s="100"/>
      <c r="U252" s="100"/>
      <c r="V252" s="100"/>
      <c r="W252" s="100"/>
      <c r="X252" s="100"/>
      <c r="Y252" s="100"/>
      <c r="Z252" s="100"/>
      <c r="AA252" s="100"/>
      <c r="AB252" s="100"/>
      <c r="AC252" s="100"/>
    </row>
    <row r="253" ht="36.0" customHeight="1">
      <c r="A253" s="45" t="str">
        <f>IF($C$30="","Systems Management &amp; Configuration",IF($C$30="Yes","System Mgmt/Config - Optional based on QUALIFIER response.","Systems Management &amp; Configuration"))</f>
        <v>Systems Management &amp; Configuration</v>
      </c>
      <c r="B253" s="14"/>
      <c r="C253" s="60" t="str">
        <f>$C$22</f>
        <v>CIS Critical Security Controls v6.1</v>
      </c>
      <c r="D253" s="60" t="str">
        <f>$D$22</f>
        <v>HIPAA</v>
      </c>
      <c r="E253" s="60" t="str">
        <f>$E$22</f>
        <v>ISO 27002:2013</v>
      </c>
      <c r="F253" s="60" t="str">
        <f>$F$22</f>
        <v>NIST Cybersecurity Framework</v>
      </c>
      <c r="G253" s="60" t="str">
        <f>$G$22</f>
        <v>NIST SP 800-171r1</v>
      </c>
      <c r="H253" s="60" t="str">
        <f>$H$22</f>
        <v>NIST SP 800-53r4</v>
      </c>
      <c r="I253" s="60" t="s">
        <v>808</v>
      </c>
      <c r="J253" s="99"/>
      <c r="K253" s="100"/>
      <c r="L253" s="100"/>
      <c r="M253" s="100"/>
      <c r="N253" s="100"/>
      <c r="O253" s="100"/>
      <c r="P253" s="100"/>
      <c r="Q253" s="100"/>
      <c r="R253" s="100"/>
      <c r="S253" s="100"/>
      <c r="T253" s="100"/>
      <c r="U253" s="100"/>
      <c r="V253" s="100"/>
      <c r="W253" s="100"/>
      <c r="X253" s="100"/>
      <c r="Y253" s="100"/>
      <c r="Z253" s="100"/>
      <c r="AA253" s="100"/>
      <c r="AB253" s="100"/>
      <c r="AC253" s="100"/>
    </row>
    <row r="254" ht="48.75" customHeight="1">
      <c r="A254" s="51" t="s">
        <v>672</v>
      </c>
      <c r="B254" s="62" t="str">
        <f>VLOOKUP(A254,'HECVAT - Full'!A$24:B$312,2,FALSE)</f>
        <v>Are systems that support this service managed via a separate management network?</v>
      </c>
      <c r="C254" s="63" t="s">
        <v>860</v>
      </c>
      <c r="D254" s="127"/>
      <c r="E254" s="126" t="s">
        <v>1006</v>
      </c>
      <c r="F254" s="63" t="s">
        <v>1095</v>
      </c>
      <c r="G254" s="63" t="s">
        <v>997</v>
      </c>
      <c r="H254" s="126" t="s">
        <v>842</v>
      </c>
      <c r="I254" s="128"/>
      <c r="J254" s="99"/>
      <c r="K254" s="100"/>
      <c r="L254" s="100"/>
      <c r="M254" s="100"/>
      <c r="N254" s="100"/>
      <c r="O254" s="100"/>
      <c r="P254" s="100"/>
      <c r="Q254" s="100"/>
      <c r="R254" s="100"/>
      <c r="S254" s="100"/>
      <c r="T254" s="100"/>
      <c r="U254" s="100"/>
      <c r="V254" s="100"/>
      <c r="W254" s="100"/>
      <c r="X254" s="100"/>
      <c r="Y254" s="100"/>
      <c r="Z254" s="100"/>
      <c r="AA254" s="100"/>
      <c r="AB254" s="100"/>
      <c r="AC254" s="100"/>
    </row>
    <row r="255" ht="48.0" customHeight="1">
      <c r="A255" s="51" t="s">
        <v>675</v>
      </c>
      <c r="B255" s="62" t="str">
        <f>VLOOKUP(A255,'HECVAT - Full'!A$24:B$312,2,FALSE)</f>
        <v>Do you have an implemented system configuration management process? (e.g. secure "gold" images, etc.)</v>
      </c>
      <c r="C255" s="63" t="s">
        <v>990</v>
      </c>
      <c r="D255" s="127"/>
      <c r="E255" s="127"/>
      <c r="F255" s="63" t="s">
        <v>1096</v>
      </c>
      <c r="G255" s="63" t="s">
        <v>1097</v>
      </c>
      <c r="H255" s="126" t="s">
        <v>1098</v>
      </c>
      <c r="I255" s="128"/>
      <c r="J255" s="99"/>
      <c r="K255" s="100"/>
      <c r="L255" s="100"/>
      <c r="M255" s="100"/>
      <c r="N255" s="100"/>
      <c r="O255" s="100"/>
      <c r="P255" s="100"/>
      <c r="Q255" s="100"/>
      <c r="R255" s="100"/>
      <c r="S255" s="100"/>
      <c r="T255" s="100"/>
      <c r="U255" s="100"/>
      <c r="V255" s="100"/>
      <c r="W255" s="100"/>
      <c r="X255" s="100"/>
      <c r="Y255" s="100"/>
      <c r="Z255" s="100"/>
      <c r="AA255" s="100"/>
      <c r="AB255" s="100"/>
      <c r="AC255" s="100"/>
    </row>
    <row r="256" ht="48.0" customHeight="1">
      <c r="A256" s="51" t="s">
        <v>678</v>
      </c>
      <c r="B256" s="62" t="str">
        <f>VLOOKUP(A256,'HECVAT - Full'!A$24:B$312,2,FALSE)</f>
        <v>Are employee mobile devices managed by your company's Mobile Device Management (MDM) platform?</v>
      </c>
      <c r="C256" s="63" t="s">
        <v>990</v>
      </c>
      <c r="D256" s="127"/>
      <c r="E256" s="126" t="s">
        <v>1099</v>
      </c>
      <c r="F256" s="128"/>
      <c r="G256" s="63" t="s">
        <v>1100</v>
      </c>
      <c r="H256" s="127"/>
      <c r="I256" s="128"/>
      <c r="J256" s="99"/>
      <c r="K256" s="100"/>
      <c r="L256" s="100"/>
      <c r="M256" s="100"/>
      <c r="N256" s="100"/>
      <c r="O256" s="100"/>
      <c r="P256" s="100"/>
      <c r="Q256" s="100"/>
      <c r="R256" s="100"/>
      <c r="S256" s="100"/>
      <c r="T256" s="100"/>
      <c r="U256" s="100"/>
      <c r="V256" s="100"/>
      <c r="W256" s="100"/>
      <c r="X256" s="100"/>
      <c r="Y256" s="100"/>
      <c r="Z256" s="100"/>
      <c r="AA256" s="100"/>
      <c r="AB256" s="100"/>
      <c r="AC256" s="100"/>
    </row>
    <row r="257" ht="63.75" customHeight="1">
      <c r="A257" s="51" t="s">
        <v>681</v>
      </c>
      <c r="B257" s="62" t="str">
        <f>VLOOKUP(A257,'HECVAT - Full'!A$24:B$312,2,FALSE)</f>
        <v>Do you have a systems management and configuration strategy that encompasses servers, appliances, and mobile devices (company and employee owned)?</v>
      </c>
      <c r="C257" s="63" t="s">
        <v>990</v>
      </c>
      <c r="D257" s="127"/>
      <c r="E257" s="126" t="s">
        <v>868</v>
      </c>
      <c r="F257" s="63" t="s">
        <v>1101</v>
      </c>
      <c r="G257" s="63" t="s">
        <v>1102</v>
      </c>
      <c r="H257" s="126" t="s">
        <v>1103</v>
      </c>
      <c r="I257" s="128"/>
      <c r="J257" s="99"/>
      <c r="K257" s="100"/>
      <c r="L257" s="100"/>
      <c r="M257" s="100"/>
      <c r="N257" s="100"/>
      <c r="O257" s="100"/>
      <c r="P257" s="100"/>
      <c r="Q257" s="100"/>
      <c r="R257" s="100"/>
      <c r="S257" s="100"/>
      <c r="T257" s="100"/>
      <c r="U257" s="100"/>
      <c r="V257" s="100"/>
      <c r="W257" s="100"/>
      <c r="X257" s="100"/>
      <c r="Y257" s="100"/>
      <c r="Z257" s="100"/>
      <c r="AA257" s="100"/>
      <c r="AB257" s="100"/>
      <c r="AC257" s="100"/>
    </row>
    <row r="258" ht="36.0" customHeight="1">
      <c r="A258" s="45" t="str">
        <f>IF($C$30="","Vulnerability Scanning",IF($C$30="Yes","Vulnerability Scanning - Optional based on QUALIFIER response.","Vulnerability Scanning"))</f>
        <v>Vulnerability Scanning</v>
      </c>
      <c r="B258" s="14"/>
      <c r="C258" s="60" t="str">
        <f>$C$22</f>
        <v>CIS Critical Security Controls v6.1</v>
      </c>
      <c r="D258" s="60" t="str">
        <f>$D$22</f>
        <v>HIPAA</v>
      </c>
      <c r="E258" s="60" t="str">
        <f>$E$22</f>
        <v>ISO 27002:2013</v>
      </c>
      <c r="F258" s="60" t="str">
        <f>$F$22</f>
        <v>NIST Cybersecurity Framework</v>
      </c>
      <c r="G258" s="60" t="str">
        <f>$G$22</f>
        <v>NIST SP 800-171r1</v>
      </c>
      <c r="H258" s="60" t="str">
        <f>$H$22</f>
        <v>NIST SP 800-53r4</v>
      </c>
      <c r="I258" s="60" t="s">
        <v>808</v>
      </c>
      <c r="J258" s="99"/>
      <c r="K258" s="100"/>
      <c r="L258" s="100"/>
      <c r="M258" s="100"/>
      <c r="N258" s="100"/>
      <c r="O258" s="100"/>
      <c r="P258" s="100"/>
      <c r="Q258" s="100"/>
      <c r="R258" s="100"/>
      <c r="S258" s="100"/>
      <c r="T258" s="100"/>
      <c r="U258" s="100"/>
      <c r="V258" s="100"/>
      <c r="W258" s="100"/>
      <c r="X258" s="100"/>
      <c r="Y258" s="100"/>
      <c r="Z258" s="100"/>
      <c r="AA258" s="100"/>
      <c r="AB258" s="100"/>
      <c r="AC258" s="100"/>
    </row>
    <row r="259" ht="36.0" customHeight="1">
      <c r="A259" s="51" t="s">
        <v>684</v>
      </c>
      <c r="B259" s="62" t="str">
        <f>VLOOKUP(A259,'HECVAT - Full'!A$24:B$312,2,FALSE)</f>
        <v>Are your applications scanned externally for vulnerabilities?</v>
      </c>
      <c r="C259" s="63" t="s">
        <v>1051</v>
      </c>
      <c r="D259" s="128"/>
      <c r="E259" s="126" t="s">
        <v>935</v>
      </c>
      <c r="F259" s="63" t="s">
        <v>1104</v>
      </c>
      <c r="G259" s="63" t="s">
        <v>1105</v>
      </c>
      <c r="H259" s="126" t="s">
        <v>1106</v>
      </c>
      <c r="I259" s="130">
        <v>11.2</v>
      </c>
      <c r="J259" s="99"/>
      <c r="K259" s="100"/>
      <c r="L259" s="100"/>
      <c r="M259" s="100"/>
      <c r="N259" s="100"/>
      <c r="O259" s="100"/>
      <c r="P259" s="100"/>
      <c r="Q259" s="100"/>
      <c r="R259" s="100"/>
      <c r="S259" s="100"/>
      <c r="T259" s="100"/>
      <c r="U259" s="100"/>
      <c r="V259" s="100"/>
      <c r="W259" s="100"/>
      <c r="X259" s="100"/>
      <c r="Y259" s="100"/>
      <c r="Z259" s="100"/>
      <c r="AA259" s="100"/>
      <c r="AB259" s="100"/>
      <c r="AC259" s="100"/>
    </row>
    <row r="260" ht="36.0" customHeight="1">
      <c r="A260" s="51" t="s">
        <v>687</v>
      </c>
      <c r="B260" s="62" t="str">
        <f>VLOOKUP(A260,'HECVAT - Full'!A$24:B$312,2,FALSE)</f>
        <v>Have your applications had an external vulnerability assessment in the last year?</v>
      </c>
      <c r="C260" s="63" t="s">
        <v>1051</v>
      </c>
      <c r="D260" s="128"/>
      <c r="E260" s="126" t="s">
        <v>935</v>
      </c>
      <c r="F260" s="63" t="s">
        <v>1104</v>
      </c>
      <c r="G260" s="63" t="s">
        <v>1105</v>
      </c>
      <c r="H260" s="126" t="s">
        <v>1106</v>
      </c>
      <c r="I260" s="130">
        <v>11.2</v>
      </c>
      <c r="J260" s="99"/>
      <c r="K260" s="100"/>
      <c r="L260" s="100"/>
      <c r="M260" s="100"/>
      <c r="N260" s="100"/>
      <c r="O260" s="100"/>
      <c r="P260" s="100"/>
      <c r="Q260" s="100"/>
      <c r="R260" s="100"/>
      <c r="S260" s="100"/>
      <c r="T260" s="100"/>
      <c r="U260" s="100"/>
      <c r="V260" s="100"/>
      <c r="W260" s="100"/>
      <c r="X260" s="100"/>
      <c r="Y260" s="100"/>
      <c r="Z260" s="100"/>
      <c r="AA260" s="100"/>
      <c r="AB260" s="100"/>
      <c r="AC260" s="100"/>
    </row>
    <row r="261" ht="64.5" customHeight="1">
      <c r="A261" s="51" t="s">
        <v>690</v>
      </c>
      <c r="B261" s="62" t="str">
        <f>VLOOKUP(A261,'HECVAT - Full'!A$24:B$312,2,FALSE)</f>
        <v>Are your applications scanned for vulnerabilities prior to new releases?</v>
      </c>
      <c r="C261" s="63" t="s">
        <v>1051</v>
      </c>
      <c r="D261" s="128"/>
      <c r="E261" s="127"/>
      <c r="F261" s="63" t="s">
        <v>1104</v>
      </c>
      <c r="G261" s="63" t="s">
        <v>1105</v>
      </c>
      <c r="H261" s="126" t="s">
        <v>1106</v>
      </c>
      <c r="I261" s="130">
        <v>11.2</v>
      </c>
      <c r="J261" s="99"/>
      <c r="K261" s="100"/>
      <c r="L261" s="100"/>
      <c r="M261" s="100"/>
      <c r="N261" s="100"/>
      <c r="O261" s="100"/>
      <c r="P261" s="100"/>
      <c r="Q261" s="100"/>
      <c r="R261" s="100"/>
      <c r="S261" s="100"/>
      <c r="T261" s="100"/>
      <c r="U261" s="100"/>
      <c r="V261" s="100"/>
      <c r="W261" s="100"/>
      <c r="X261" s="100"/>
      <c r="Y261" s="100"/>
      <c r="Z261" s="100"/>
      <c r="AA261" s="100"/>
      <c r="AB261" s="100"/>
      <c r="AC261" s="100"/>
    </row>
    <row r="262" ht="48.75" customHeight="1">
      <c r="A262" s="51" t="s">
        <v>693</v>
      </c>
      <c r="B262" s="62" t="str">
        <f>VLOOKUP(A262,'HECVAT - Full'!A$24:B$312,2,FALSE)</f>
        <v>Are your systems scanned externally for vulnerabilities?</v>
      </c>
      <c r="C262" s="63" t="s">
        <v>1051</v>
      </c>
      <c r="D262" s="128"/>
      <c r="E262" s="127"/>
      <c r="F262" s="63" t="s">
        <v>1104</v>
      </c>
      <c r="G262" s="63" t="s">
        <v>1105</v>
      </c>
      <c r="H262" s="126" t="s">
        <v>1106</v>
      </c>
      <c r="I262" s="130">
        <v>11.2</v>
      </c>
      <c r="J262" s="99"/>
      <c r="K262" s="100"/>
      <c r="L262" s="100"/>
      <c r="M262" s="100"/>
      <c r="N262" s="100"/>
      <c r="O262" s="100"/>
      <c r="P262" s="100"/>
      <c r="Q262" s="100"/>
      <c r="R262" s="100"/>
      <c r="S262" s="100"/>
      <c r="T262" s="100"/>
      <c r="U262" s="100"/>
      <c r="V262" s="100"/>
      <c r="W262" s="100"/>
      <c r="X262" s="100"/>
      <c r="Y262" s="100"/>
      <c r="Z262" s="100"/>
      <c r="AA262" s="100"/>
      <c r="AB262" s="100"/>
      <c r="AC262" s="100"/>
    </row>
    <row r="263" ht="36.0" customHeight="1">
      <c r="A263" s="51" t="s">
        <v>696</v>
      </c>
      <c r="B263" s="62" t="str">
        <f>VLOOKUP(A263,'HECVAT - Full'!A$24:B$312,2,FALSE)</f>
        <v>Have your systems had an external vulnerability assessment in the last year?</v>
      </c>
      <c r="C263" s="63" t="s">
        <v>1051</v>
      </c>
      <c r="D263" s="128"/>
      <c r="E263" s="127"/>
      <c r="F263" s="63" t="s">
        <v>1104</v>
      </c>
      <c r="G263" s="129"/>
      <c r="H263" s="126" t="s">
        <v>1106</v>
      </c>
      <c r="I263" s="130">
        <v>11.2</v>
      </c>
      <c r="J263" s="99"/>
      <c r="K263" s="100"/>
      <c r="L263" s="100"/>
      <c r="M263" s="100"/>
      <c r="N263" s="100"/>
      <c r="O263" s="100"/>
      <c r="P263" s="100"/>
      <c r="Q263" s="100"/>
      <c r="R263" s="100"/>
      <c r="S263" s="100"/>
      <c r="T263" s="100"/>
      <c r="U263" s="100"/>
      <c r="V263" s="100"/>
      <c r="W263" s="100"/>
      <c r="X263" s="100"/>
      <c r="Y263" s="100"/>
      <c r="Z263" s="100"/>
      <c r="AA263" s="100"/>
      <c r="AB263" s="100"/>
      <c r="AC263" s="100"/>
    </row>
    <row r="264" ht="64.5" customHeight="1">
      <c r="A264" s="51" t="s">
        <v>699</v>
      </c>
      <c r="B264" s="62" t="str">
        <f>VLOOKUP(A264,'HECVAT - Full'!A$24:B$312,2,FALSE)</f>
        <v>Describe or provide a reference to the tool(s) used to scan for vulnerabilities in your applications and systems.</v>
      </c>
      <c r="C264" s="63" t="s">
        <v>1051</v>
      </c>
      <c r="D264" s="128"/>
      <c r="E264" s="127"/>
      <c r="F264" s="63" t="s">
        <v>1104</v>
      </c>
      <c r="G264" s="63" t="s">
        <v>1105</v>
      </c>
      <c r="H264" s="126" t="s">
        <v>1106</v>
      </c>
      <c r="I264" s="130">
        <v>11.2</v>
      </c>
      <c r="J264" s="99"/>
      <c r="K264" s="100"/>
      <c r="L264" s="100"/>
      <c r="M264" s="100"/>
      <c r="N264" s="100"/>
      <c r="O264" s="100"/>
      <c r="P264" s="100"/>
      <c r="Q264" s="100"/>
      <c r="R264" s="100"/>
      <c r="S264" s="100"/>
      <c r="T264" s="100"/>
      <c r="U264" s="100"/>
      <c r="V264" s="100"/>
      <c r="W264" s="100"/>
      <c r="X264" s="100"/>
      <c r="Y264" s="100"/>
      <c r="Z264" s="100"/>
      <c r="AA264" s="100"/>
      <c r="AB264" s="100"/>
      <c r="AC264" s="100"/>
    </row>
    <row r="265" ht="36.0" customHeight="1">
      <c r="A265" s="51" t="s">
        <v>703</v>
      </c>
      <c r="B265" s="62" t="str">
        <f>VLOOKUP(A265,'HECVAT - Full'!A$24:B$312,2,FALSE)</f>
        <v>Will you provide results of security scans to the Institution?</v>
      </c>
      <c r="C265" s="63" t="s">
        <v>1051</v>
      </c>
      <c r="D265" s="128"/>
      <c r="E265" s="127"/>
      <c r="F265" s="63" t="s">
        <v>1104</v>
      </c>
      <c r="G265" s="129"/>
      <c r="H265" s="126" t="s">
        <v>1106</v>
      </c>
      <c r="I265" s="130">
        <v>11.2</v>
      </c>
      <c r="J265" s="99"/>
      <c r="K265" s="100"/>
      <c r="L265" s="100"/>
      <c r="M265" s="100"/>
      <c r="N265" s="100"/>
      <c r="O265" s="100"/>
      <c r="P265" s="100"/>
      <c r="Q265" s="100"/>
      <c r="R265" s="100"/>
      <c r="S265" s="100"/>
      <c r="T265" s="100"/>
      <c r="U265" s="100"/>
      <c r="V265" s="100"/>
      <c r="W265" s="100"/>
      <c r="X265" s="100"/>
      <c r="Y265" s="100"/>
      <c r="Z265" s="100"/>
      <c r="AA265" s="100"/>
      <c r="AB265" s="100"/>
      <c r="AC265" s="100"/>
    </row>
    <row r="266" ht="64.5" customHeight="1">
      <c r="A266" s="51" t="s">
        <v>706</v>
      </c>
      <c r="B266" s="62" t="str">
        <f>VLOOKUP(A266,'HECVAT - Full'!A$24:B$312,2,FALSE)</f>
        <v>Describe or provide a reference to how you monitor for and protect against common web application security vulnerabilities (e.g. SQL injection, XSS, XSRF, etc.).</v>
      </c>
      <c r="C266" s="63" t="s">
        <v>1107</v>
      </c>
      <c r="D266" s="128"/>
      <c r="E266" s="126" t="s">
        <v>935</v>
      </c>
      <c r="F266" s="63" t="s">
        <v>1108</v>
      </c>
      <c r="G266" s="63" t="s">
        <v>1109</v>
      </c>
      <c r="H266" s="126" t="s">
        <v>1106</v>
      </c>
      <c r="I266" s="126" t="s">
        <v>1110</v>
      </c>
      <c r="J266" s="99"/>
      <c r="K266" s="100"/>
      <c r="L266" s="100"/>
      <c r="M266" s="100"/>
      <c r="N266" s="100"/>
      <c r="O266" s="100"/>
      <c r="P266" s="100"/>
      <c r="Q266" s="100"/>
      <c r="R266" s="100"/>
      <c r="S266" s="100"/>
      <c r="T266" s="100"/>
      <c r="U266" s="100"/>
      <c r="V266" s="100"/>
      <c r="W266" s="100"/>
      <c r="X266" s="100"/>
      <c r="Y266" s="100"/>
      <c r="Z266" s="100"/>
      <c r="AA266" s="100"/>
      <c r="AB266" s="100"/>
      <c r="AC266" s="100"/>
    </row>
    <row r="267" ht="54.0" customHeight="1">
      <c r="A267" s="51" t="s">
        <v>710</v>
      </c>
      <c r="B267" s="62" t="str">
        <f>VLOOKUP(A267,'HECVAT - Full'!A$24:B$312,2,FALSE)</f>
        <v>Will you allow the institution to perform its own security testing of your systems and/or application provided that testing is performed at a mutually agreed upon time and date?</v>
      </c>
      <c r="C267" s="63" t="s">
        <v>1111</v>
      </c>
      <c r="D267" s="128"/>
      <c r="E267" s="126" t="s">
        <v>1112</v>
      </c>
      <c r="F267" s="63" t="s">
        <v>1104</v>
      </c>
      <c r="G267" s="63" t="s">
        <v>1105</v>
      </c>
      <c r="H267" s="126" t="s">
        <v>1106</v>
      </c>
      <c r="I267" s="126" t="s">
        <v>1113</v>
      </c>
      <c r="J267" s="99"/>
      <c r="K267" s="100"/>
      <c r="L267" s="100"/>
      <c r="M267" s="100"/>
      <c r="N267" s="100"/>
      <c r="O267" s="100"/>
      <c r="P267" s="100"/>
      <c r="Q267" s="100"/>
      <c r="R267" s="100"/>
      <c r="S267" s="100"/>
      <c r="T267" s="100"/>
      <c r="U267" s="100"/>
      <c r="V267" s="100"/>
      <c r="W267" s="100"/>
      <c r="X267" s="100"/>
      <c r="Y267" s="100"/>
      <c r="Z267" s="100"/>
      <c r="AA267" s="100"/>
      <c r="AB267" s="100"/>
      <c r="AC267" s="100"/>
    </row>
    <row r="268" ht="36.0" customHeight="1">
      <c r="A268" s="45" t="str">
        <f>IF(OR($C$24="No",$C$30="Yes"),"HIPAA - Optional based on QUALIFIER response.","HIPAA")</f>
        <v>HIPAA</v>
      </c>
      <c r="B268" s="14"/>
      <c r="C268" s="60" t="str">
        <f>$C$22</f>
        <v>CIS Critical Security Controls v6.1</v>
      </c>
      <c r="D268" s="60" t="str">
        <f>$D$22</f>
        <v>HIPAA</v>
      </c>
      <c r="E268" s="60" t="str">
        <f>$E$22</f>
        <v>ISO 27002:2013</v>
      </c>
      <c r="F268" s="60" t="str">
        <f>$F$22</f>
        <v>NIST Cybersecurity Framework</v>
      </c>
      <c r="G268" s="60" t="str">
        <f>$G$22</f>
        <v>NIST SP 800-171r1</v>
      </c>
      <c r="H268" s="60" t="str">
        <f>$H$22</f>
        <v>NIST SP 800-53r4</v>
      </c>
      <c r="I268" s="60" t="s">
        <v>808</v>
      </c>
      <c r="J268" s="99"/>
      <c r="K268" s="100"/>
      <c r="L268" s="100"/>
      <c r="M268" s="100"/>
      <c r="N268" s="100"/>
      <c r="O268" s="100"/>
      <c r="P268" s="100"/>
      <c r="Q268" s="100"/>
      <c r="R268" s="100"/>
      <c r="S268" s="100"/>
      <c r="T268" s="100"/>
      <c r="U268" s="100"/>
      <c r="V268" s="100"/>
      <c r="W268" s="100"/>
      <c r="X268" s="100"/>
      <c r="Y268" s="100"/>
      <c r="Z268" s="100"/>
      <c r="AA268" s="100"/>
      <c r="AB268" s="100"/>
      <c r="AC268" s="100"/>
    </row>
    <row r="269" ht="64.5" customHeight="1">
      <c r="A269" s="51" t="s">
        <v>713</v>
      </c>
      <c r="B269" s="62" t="str">
        <f>VLOOKUP(A269,'HECVAT - Full'!A$24:B$312,2,FALSE)</f>
        <v>Do your workforce members receive regular training related to the HIPAA Privacy and Security Rules and the HITECH Act?</v>
      </c>
      <c r="C269" s="63" t="s">
        <v>1079</v>
      </c>
      <c r="D269" s="126" t="s">
        <v>1083</v>
      </c>
      <c r="E269" s="126" t="s">
        <v>1114</v>
      </c>
      <c r="F269" s="63" t="s">
        <v>812</v>
      </c>
      <c r="G269" s="63" t="s">
        <v>1115</v>
      </c>
      <c r="H269" s="126" t="s">
        <v>1116</v>
      </c>
      <c r="I269" s="127"/>
      <c r="J269" s="99"/>
      <c r="K269" s="100"/>
      <c r="L269" s="100"/>
      <c r="M269" s="100"/>
      <c r="N269" s="100"/>
      <c r="O269" s="100"/>
      <c r="P269" s="100"/>
      <c r="Q269" s="100"/>
      <c r="R269" s="100"/>
      <c r="S269" s="100"/>
      <c r="T269" s="100"/>
      <c r="U269" s="100"/>
      <c r="V269" s="100"/>
      <c r="W269" s="100"/>
      <c r="X269" s="100"/>
      <c r="Y269" s="100"/>
      <c r="Z269" s="100"/>
      <c r="AA269" s="100"/>
      <c r="AB269" s="100"/>
      <c r="AC269" s="100"/>
    </row>
    <row r="270" ht="48.0" customHeight="1">
      <c r="A270" s="51" t="s">
        <v>716</v>
      </c>
      <c r="B270" s="62" t="str">
        <f>VLOOKUP(A270,'HECVAT - Full'!A$24:B$312,2,FALSE)</f>
        <v>Do you monitor or receive information regarding changes in HIPAA regulations?</v>
      </c>
      <c r="C270" s="63" t="s">
        <v>809</v>
      </c>
      <c r="D270" s="126" t="s">
        <v>1117</v>
      </c>
      <c r="E270" s="126" t="s">
        <v>811</v>
      </c>
      <c r="F270" s="63" t="s">
        <v>812</v>
      </c>
      <c r="G270" s="129"/>
      <c r="H270" s="127"/>
      <c r="I270" s="127"/>
      <c r="J270" s="99"/>
      <c r="K270" s="100"/>
      <c r="L270" s="100"/>
      <c r="M270" s="100"/>
      <c r="N270" s="100"/>
      <c r="O270" s="100"/>
      <c r="P270" s="100"/>
      <c r="Q270" s="100"/>
      <c r="R270" s="100"/>
      <c r="S270" s="100"/>
      <c r="T270" s="100"/>
      <c r="U270" s="100"/>
      <c r="V270" s="100"/>
      <c r="W270" s="100"/>
      <c r="X270" s="100"/>
      <c r="Y270" s="100"/>
      <c r="Z270" s="100"/>
      <c r="AA270" s="100"/>
      <c r="AB270" s="100"/>
      <c r="AC270" s="100"/>
    </row>
    <row r="271" ht="48.0" customHeight="1">
      <c r="A271" s="51" t="s">
        <v>718</v>
      </c>
      <c r="B271" s="62" t="str">
        <f>VLOOKUP(A271,'HECVAT - Full'!A$24:B$312,2,FALSE)</f>
        <v>Has your organization designated HIPAA Privacy and Security officers as required by the Rules?</v>
      </c>
      <c r="C271" s="63" t="s">
        <v>1079</v>
      </c>
      <c r="D271" s="126" t="s">
        <v>1118</v>
      </c>
      <c r="E271" s="126" t="s">
        <v>811</v>
      </c>
      <c r="F271" s="63" t="s">
        <v>812</v>
      </c>
      <c r="G271" s="129"/>
      <c r="H271" s="127"/>
      <c r="I271" s="127"/>
      <c r="J271" s="99"/>
      <c r="K271" s="100"/>
      <c r="L271" s="100"/>
      <c r="M271" s="100"/>
      <c r="N271" s="100"/>
      <c r="O271" s="100"/>
      <c r="P271" s="100"/>
      <c r="Q271" s="100"/>
      <c r="R271" s="100"/>
      <c r="S271" s="100"/>
      <c r="T271" s="100"/>
      <c r="U271" s="100"/>
      <c r="V271" s="100"/>
      <c r="W271" s="100"/>
      <c r="X271" s="100"/>
      <c r="Y271" s="100"/>
      <c r="Z271" s="100"/>
      <c r="AA271" s="100"/>
      <c r="AB271" s="100"/>
      <c r="AC271" s="100"/>
    </row>
    <row r="272" ht="48.0" customHeight="1">
      <c r="A272" s="51" t="s">
        <v>720</v>
      </c>
      <c r="B272" s="62" t="str">
        <f>VLOOKUP(A272,'HECVAT - Full'!A$24:B$312,2,FALSE)</f>
        <v>Do you comply with the requirements of the Health Information Technology for Economic and Clinical Health Act (HITECH)?</v>
      </c>
      <c r="C272" s="63" t="s">
        <v>809</v>
      </c>
      <c r="D272" s="127"/>
      <c r="E272" s="126" t="s">
        <v>811</v>
      </c>
      <c r="F272" s="63" t="s">
        <v>812</v>
      </c>
      <c r="G272" s="129"/>
      <c r="H272" s="127"/>
      <c r="I272" s="127"/>
      <c r="J272" s="99"/>
      <c r="K272" s="100"/>
      <c r="L272" s="100"/>
      <c r="M272" s="100"/>
      <c r="N272" s="100"/>
      <c r="O272" s="100"/>
      <c r="P272" s="100"/>
      <c r="Q272" s="100"/>
      <c r="R272" s="100"/>
      <c r="S272" s="100"/>
      <c r="T272" s="100"/>
      <c r="U272" s="100"/>
      <c r="V272" s="100"/>
      <c r="W272" s="100"/>
      <c r="X272" s="100"/>
      <c r="Y272" s="100"/>
      <c r="Z272" s="100"/>
      <c r="AA272" s="100"/>
      <c r="AB272" s="100"/>
      <c r="AC272" s="100"/>
    </row>
    <row r="273" ht="48.0" customHeight="1">
      <c r="A273" s="51" t="s">
        <v>722</v>
      </c>
      <c r="B273" s="62" t="str">
        <f>VLOOKUP(A273,'HECVAT - Full'!A$24:B$312,2,FALSE)</f>
        <v>Do you have an incident response process and reporting in place to investigate any potential incidents and report actual incidents?</v>
      </c>
      <c r="C273" s="63" t="s">
        <v>1009</v>
      </c>
      <c r="D273" s="126" t="s">
        <v>1119</v>
      </c>
      <c r="E273" s="126" t="s">
        <v>1120</v>
      </c>
      <c r="F273" s="63" t="s">
        <v>812</v>
      </c>
      <c r="G273" s="63" t="s">
        <v>1121</v>
      </c>
      <c r="H273" s="126" t="s">
        <v>1122</v>
      </c>
      <c r="I273" s="126" t="s">
        <v>1123</v>
      </c>
      <c r="J273" s="99"/>
      <c r="K273" s="100"/>
      <c r="L273" s="100"/>
      <c r="M273" s="100"/>
      <c r="N273" s="100"/>
      <c r="O273" s="100"/>
      <c r="P273" s="100"/>
      <c r="Q273" s="100"/>
      <c r="R273" s="100"/>
      <c r="S273" s="100"/>
      <c r="T273" s="100"/>
      <c r="U273" s="100"/>
      <c r="V273" s="100"/>
      <c r="W273" s="100"/>
      <c r="X273" s="100"/>
      <c r="Y273" s="100"/>
      <c r="Z273" s="100"/>
      <c r="AA273" s="100"/>
      <c r="AB273" s="100"/>
      <c r="AC273" s="100"/>
    </row>
    <row r="274" ht="48.0" customHeight="1">
      <c r="A274" s="51" t="s">
        <v>724</v>
      </c>
      <c r="B274" s="62" t="str">
        <f>VLOOKUP(A274,'HECVAT - Full'!A$24:B$312,2,FALSE)</f>
        <v>Do you have a plan to comply with the Breach Notification requirements if there is a breach of data?</v>
      </c>
      <c r="C274" s="63" t="s">
        <v>1009</v>
      </c>
      <c r="D274" s="126" t="s">
        <v>1124</v>
      </c>
      <c r="E274" s="126" t="s">
        <v>1125</v>
      </c>
      <c r="F274" s="63" t="s">
        <v>812</v>
      </c>
      <c r="G274" s="63" t="s">
        <v>1126</v>
      </c>
      <c r="H274" s="126" t="s">
        <v>1127</v>
      </c>
      <c r="I274" s="130">
        <v>12.8</v>
      </c>
      <c r="J274" s="99"/>
      <c r="K274" s="100"/>
      <c r="L274" s="100"/>
      <c r="M274" s="100"/>
      <c r="N274" s="100"/>
      <c r="O274" s="100"/>
      <c r="P274" s="100"/>
      <c r="Q274" s="100"/>
      <c r="R274" s="100"/>
      <c r="S274" s="100"/>
      <c r="T274" s="100"/>
      <c r="U274" s="100"/>
      <c r="V274" s="100"/>
      <c r="W274" s="100"/>
      <c r="X274" s="100"/>
      <c r="Y274" s="100"/>
      <c r="Z274" s="100"/>
      <c r="AA274" s="100"/>
      <c r="AB274" s="100"/>
      <c r="AC274" s="100"/>
    </row>
    <row r="275" ht="48.0" customHeight="1">
      <c r="A275" s="51" t="s">
        <v>726</v>
      </c>
      <c r="B275" s="62" t="str">
        <f>VLOOKUP(A275,'HECVAT - Full'!A$24:B$312,2,FALSE)</f>
        <v>Have you conducted a risk analysis as required under the Security Rule?</v>
      </c>
      <c r="C275" s="63" t="s">
        <v>809</v>
      </c>
      <c r="D275" s="126" t="s">
        <v>829</v>
      </c>
      <c r="E275" s="127"/>
      <c r="F275" s="63" t="s">
        <v>812</v>
      </c>
      <c r="G275" s="129"/>
      <c r="H275" s="127"/>
      <c r="I275" s="130">
        <v>12.2</v>
      </c>
      <c r="J275" s="99"/>
      <c r="K275" s="100"/>
      <c r="L275" s="100"/>
      <c r="M275" s="100"/>
      <c r="N275" s="100"/>
      <c r="O275" s="100"/>
      <c r="P275" s="100"/>
      <c r="Q275" s="100"/>
      <c r="R275" s="100"/>
      <c r="S275" s="100"/>
      <c r="T275" s="100"/>
      <c r="U275" s="100"/>
      <c r="V275" s="100"/>
      <c r="W275" s="100"/>
      <c r="X275" s="100"/>
      <c r="Y275" s="100"/>
      <c r="Z275" s="100"/>
      <c r="AA275" s="100"/>
      <c r="AB275" s="100"/>
      <c r="AC275" s="100"/>
    </row>
    <row r="276" ht="48.0" customHeight="1">
      <c r="A276" s="51" t="s">
        <v>728</v>
      </c>
      <c r="B276" s="62" t="str">
        <f>VLOOKUP(A276,'HECVAT - Full'!A$24:B$312,2,FALSE)</f>
        <v>Have you identified areas of risks?</v>
      </c>
      <c r="C276" s="63" t="s">
        <v>1051</v>
      </c>
      <c r="D276" s="126" t="s">
        <v>1128</v>
      </c>
      <c r="E276" s="127"/>
      <c r="F276" s="63" t="s">
        <v>812</v>
      </c>
      <c r="G276" s="129"/>
      <c r="H276" s="127"/>
      <c r="I276" s="130">
        <v>12.2</v>
      </c>
      <c r="J276" s="99"/>
      <c r="K276" s="100"/>
      <c r="L276" s="100"/>
      <c r="M276" s="100"/>
      <c r="N276" s="100"/>
      <c r="O276" s="100"/>
      <c r="P276" s="100"/>
      <c r="Q276" s="100"/>
      <c r="R276" s="100"/>
      <c r="S276" s="100"/>
      <c r="T276" s="100"/>
      <c r="U276" s="100"/>
      <c r="V276" s="100"/>
      <c r="W276" s="100"/>
      <c r="X276" s="100"/>
      <c r="Y276" s="100"/>
      <c r="Z276" s="100"/>
      <c r="AA276" s="100"/>
      <c r="AB276" s="100"/>
      <c r="AC276" s="100"/>
    </row>
    <row r="277" ht="48.0" customHeight="1">
      <c r="A277" s="51" t="s">
        <v>730</v>
      </c>
      <c r="B277" s="62" t="str">
        <f>VLOOKUP(A277,'HECVAT - Full'!A$24:B$312,2,FALSE)</f>
        <v>Have you taken actions to mitigate the identified risks?</v>
      </c>
      <c r="C277" s="63" t="s">
        <v>1051</v>
      </c>
      <c r="D277" s="126" t="s">
        <v>937</v>
      </c>
      <c r="E277" s="127"/>
      <c r="F277" s="63" t="s">
        <v>812</v>
      </c>
      <c r="G277" s="129"/>
      <c r="H277" s="127"/>
      <c r="I277" s="130">
        <v>12.2</v>
      </c>
      <c r="J277" s="99"/>
      <c r="K277" s="100"/>
      <c r="L277" s="100"/>
      <c r="M277" s="100"/>
      <c r="N277" s="100"/>
      <c r="O277" s="100"/>
      <c r="P277" s="100"/>
      <c r="Q277" s="100"/>
      <c r="R277" s="100"/>
      <c r="S277" s="100"/>
      <c r="T277" s="100"/>
      <c r="U277" s="100"/>
      <c r="V277" s="100"/>
      <c r="W277" s="100"/>
      <c r="X277" s="100"/>
      <c r="Y277" s="100"/>
      <c r="Z277" s="100"/>
      <c r="AA277" s="100"/>
      <c r="AB277" s="100"/>
      <c r="AC277" s="100"/>
    </row>
    <row r="278" ht="48.0" customHeight="1">
      <c r="A278" s="51" t="s">
        <v>732</v>
      </c>
      <c r="B278" s="62" t="str">
        <f>VLOOKUP(A278,'HECVAT - Full'!A$24:B$312,2,FALSE)</f>
        <v>Does your application require user and system administrator password changes at a frequency no greater than 90 days?</v>
      </c>
      <c r="C278" s="63" t="s">
        <v>882</v>
      </c>
      <c r="D278" s="126" t="s">
        <v>1129</v>
      </c>
      <c r="E278" s="126" t="s">
        <v>898</v>
      </c>
      <c r="F278" s="63" t="s">
        <v>812</v>
      </c>
      <c r="G278" s="63" t="s">
        <v>885</v>
      </c>
      <c r="H278" s="126" t="s">
        <v>886</v>
      </c>
      <c r="I278" s="127"/>
      <c r="J278" s="99"/>
      <c r="K278" s="100"/>
      <c r="L278" s="100"/>
      <c r="M278" s="100"/>
      <c r="N278" s="100"/>
      <c r="O278" s="100"/>
      <c r="P278" s="100"/>
      <c r="Q278" s="100"/>
      <c r="R278" s="100"/>
      <c r="S278" s="100"/>
      <c r="T278" s="100"/>
      <c r="U278" s="100"/>
      <c r="V278" s="100"/>
      <c r="W278" s="100"/>
      <c r="X278" s="100"/>
      <c r="Y278" s="100"/>
      <c r="Z278" s="100"/>
      <c r="AA278" s="100"/>
      <c r="AB278" s="100"/>
      <c r="AC278" s="100"/>
    </row>
    <row r="279" ht="48.0" customHeight="1">
      <c r="A279" s="51" t="s">
        <v>734</v>
      </c>
      <c r="B279" s="62" t="str">
        <f>VLOOKUP(A279,'HECVAT - Full'!A$24:B$312,2,FALSE)</f>
        <v>Does your application require a user to set their own password after an administrator reset or on first use of the account?</v>
      </c>
      <c r="C279" s="63" t="s">
        <v>882</v>
      </c>
      <c r="D279" s="126" t="s">
        <v>1129</v>
      </c>
      <c r="E279" s="126" t="s">
        <v>898</v>
      </c>
      <c r="F279" s="63" t="s">
        <v>812</v>
      </c>
      <c r="G279" s="63" t="s">
        <v>1130</v>
      </c>
      <c r="H279" s="126" t="s">
        <v>889</v>
      </c>
      <c r="I279" s="127"/>
      <c r="J279" s="99"/>
      <c r="K279" s="100"/>
      <c r="L279" s="100"/>
      <c r="M279" s="100"/>
      <c r="N279" s="100"/>
      <c r="O279" s="100"/>
      <c r="P279" s="100"/>
      <c r="Q279" s="100"/>
      <c r="R279" s="100"/>
      <c r="S279" s="100"/>
      <c r="T279" s="100"/>
      <c r="U279" s="100"/>
      <c r="V279" s="100"/>
      <c r="W279" s="100"/>
      <c r="X279" s="100"/>
      <c r="Y279" s="100"/>
      <c r="Z279" s="100"/>
      <c r="AA279" s="100"/>
      <c r="AB279" s="100"/>
      <c r="AC279" s="100"/>
    </row>
    <row r="280" ht="48.0" customHeight="1">
      <c r="A280" s="51" t="s">
        <v>736</v>
      </c>
      <c r="B280" s="62" t="str">
        <f>VLOOKUP(A280,'HECVAT - Full'!A$24:B$312,2,FALSE)</f>
        <v>Does your application lock-out an account after a number of failed login attempts? </v>
      </c>
      <c r="C280" s="63" t="s">
        <v>882</v>
      </c>
      <c r="D280" s="126" t="s">
        <v>1131</v>
      </c>
      <c r="E280" s="126" t="s">
        <v>898</v>
      </c>
      <c r="F280" s="63" t="s">
        <v>812</v>
      </c>
      <c r="G280" s="63" t="s">
        <v>1132</v>
      </c>
      <c r="H280" s="126" t="s">
        <v>1133</v>
      </c>
      <c r="I280" s="127"/>
      <c r="J280" s="99"/>
      <c r="K280" s="100"/>
      <c r="L280" s="100"/>
      <c r="M280" s="100"/>
      <c r="N280" s="100"/>
      <c r="O280" s="100"/>
      <c r="P280" s="100"/>
      <c r="Q280" s="100"/>
      <c r="R280" s="100"/>
      <c r="S280" s="100"/>
      <c r="T280" s="100"/>
      <c r="U280" s="100"/>
      <c r="V280" s="100"/>
      <c r="W280" s="100"/>
      <c r="X280" s="100"/>
      <c r="Y280" s="100"/>
      <c r="Z280" s="100"/>
      <c r="AA280" s="100"/>
      <c r="AB280" s="100"/>
      <c r="AC280" s="100"/>
    </row>
    <row r="281" ht="48.0" customHeight="1">
      <c r="A281" s="51" t="s">
        <v>738</v>
      </c>
      <c r="B281" s="62" t="str">
        <f>VLOOKUP(A281,'HECVAT - Full'!A$24:B$312,2,FALSE)</f>
        <v>Does your application automatically lock or log-out an account after a period of inactivity?</v>
      </c>
      <c r="C281" s="63" t="s">
        <v>882</v>
      </c>
      <c r="D281" s="126" t="s">
        <v>1134</v>
      </c>
      <c r="E281" s="126" t="s">
        <v>898</v>
      </c>
      <c r="F281" s="63" t="s">
        <v>812</v>
      </c>
      <c r="G281" s="63" t="s">
        <v>1135</v>
      </c>
      <c r="H281" s="126" t="s">
        <v>1136</v>
      </c>
      <c r="I281" s="126" t="s">
        <v>887</v>
      </c>
      <c r="J281" s="99"/>
      <c r="K281" s="100"/>
      <c r="L281" s="100"/>
      <c r="M281" s="100"/>
      <c r="N281" s="100"/>
      <c r="O281" s="100"/>
      <c r="P281" s="100"/>
      <c r="Q281" s="100"/>
      <c r="R281" s="100"/>
      <c r="S281" s="100"/>
      <c r="T281" s="100"/>
      <c r="U281" s="100"/>
      <c r="V281" s="100"/>
      <c r="W281" s="100"/>
      <c r="X281" s="100"/>
      <c r="Y281" s="100"/>
      <c r="Z281" s="100"/>
      <c r="AA281" s="100"/>
      <c r="AB281" s="100"/>
      <c r="AC281" s="100"/>
    </row>
    <row r="282" ht="48.0" customHeight="1">
      <c r="A282" s="51" t="s">
        <v>740</v>
      </c>
      <c r="B282" s="62" t="str">
        <f>VLOOKUP(A282,'HECVAT - Full'!A$24:B$312,2,FALSE)</f>
        <v>Are passwords visible in plain text, whether when stored or entered, including service level accounts (i.e. database accounts, etc.)?</v>
      </c>
      <c r="C282" s="63" t="s">
        <v>882</v>
      </c>
      <c r="D282" s="126" t="s">
        <v>1137</v>
      </c>
      <c r="E282" s="126" t="s">
        <v>898</v>
      </c>
      <c r="F282" s="63" t="s">
        <v>812</v>
      </c>
      <c r="G282" s="63" t="s">
        <v>895</v>
      </c>
      <c r="H282" s="126" t="s">
        <v>889</v>
      </c>
      <c r="I282" s="126" t="s">
        <v>887</v>
      </c>
      <c r="J282" s="99"/>
      <c r="K282" s="100"/>
      <c r="L282" s="100"/>
      <c r="M282" s="100"/>
      <c r="N282" s="100"/>
      <c r="O282" s="100"/>
      <c r="P282" s="100"/>
      <c r="Q282" s="100"/>
      <c r="R282" s="100"/>
      <c r="S282" s="100"/>
      <c r="T282" s="100"/>
      <c r="U282" s="100"/>
      <c r="V282" s="100"/>
      <c r="W282" s="100"/>
      <c r="X282" s="100"/>
      <c r="Y282" s="100"/>
      <c r="Z282" s="100"/>
      <c r="AA282" s="100"/>
      <c r="AB282" s="100"/>
      <c r="AC282" s="100"/>
    </row>
    <row r="283" ht="48.0" customHeight="1">
      <c r="A283" s="51" t="s">
        <v>742</v>
      </c>
      <c r="B283" s="62" t="str">
        <f>VLOOKUP(A283,'HECVAT - Full'!A$24:B$312,2,FALSE)</f>
        <v>If the application is institution-hosted, can all service level and administrative account passwords be changed by the institution?</v>
      </c>
      <c r="C283" s="63" t="s">
        <v>882</v>
      </c>
      <c r="D283" s="126" t="s">
        <v>1137</v>
      </c>
      <c r="E283" s="127"/>
      <c r="F283" s="63" t="s">
        <v>812</v>
      </c>
      <c r="G283" s="129"/>
      <c r="H283" s="127"/>
      <c r="I283" s="126" t="s">
        <v>887</v>
      </c>
      <c r="J283" s="99"/>
      <c r="K283" s="100"/>
      <c r="L283" s="100"/>
      <c r="M283" s="100"/>
      <c r="N283" s="100"/>
      <c r="O283" s="100"/>
      <c r="P283" s="100"/>
      <c r="Q283" s="100"/>
      <c r="R283" s="100"/>
      <c r="S283" s="100"/>
      <c r="T283" s="100"/>
      <c r="U283" s="100"/>
      <c r="V283" s="100"/>
      <c r="W283" s="100"/>
      <c r="X283" s="100"/>
      <c r="Y283" s="100"/>
      <c r="Z283" s="100"/>
      <c r="AA283" s="100"/>
      <c r="AB283" s="100"/>
      <c r="AC283" s="100"/>
    </row>
    <row r="284" ht="63.75" customHeight="1">
      <c r="A284" s="51" t="s">
        <v>744</v>
      </c>
      <c r="B284" s="62" t="str">
        <f>VLOOKUP(A284,'HECVAT - Full'!A$24:B$312,2,FALSE)</f>
        <v>Does your application provide the ability to define user access levels?</v>
      </c>
      <c r="C284" s="63" t="s">
        <v>882</v>
      </c>
      <c r="D284" s="126" t="s">
        <v>1138</v>
      </c>
      <c r="E284" s="127"/>
      <c r="F284" s="63" t="s">
        <v>812</v>
      </c>
      <c r="G284" s="63" t="s">
        <v>844</v>
      </c>
      <c r="H284" s="127"/>
      <c r="I284" s="126" t="s">
        <v>887</v>
      </c>
      <c r="J284" s="99"/>
      <c r="K284" s="100"/>
      <c r="L284" s="100"/>
      <c r="M284" s="100"/>
      <c r="N284" s="100"/>
      <c r="O284" s="100"/>
      <c r="P284" s="100"/>
      <c r="Q284" s="100"/>
      <c r="R284" s="100"/>
      <c r="S284" s="100"/>
      <c r="T284" s="100"/>
      <c r="U284" s="100"/>
      <c r="V284" s="100"/>
      <c r="W284" s="100"/>
      <c r="X284" s="100"/>
      <c r="Y284" s="100"/>
      <c r="Z284" s="100"/>
      <c r="AA284" s="100"/>
      <c r="AB284" s="100"/>
      <c r="AC284" s="100"/>
    </row>
    <row r="285" ht="63.75" customHeight="1">
      <c r="A285" s="51" t="s">
        <v>746</v>
      </c>
      <c r="B285" s="62" t="str">
        <f>VLOOKUP(A285,'HECVAT - Full'!A$24:B$312,2,FALSE)</f>
        <v>Does your application support varying levels of access to administrative tasks defined individually per user?</v>
      </c>
      <c r="C285" s="63" t="s">
        <v>1139</v>
      </c>
      <c r="D285" s="126" t="s">
        <v>1140</v>
      </c>
      <c r="E285" s="126" t="s">
        <v>856</v>
      </c>
      <c r="F285" s="63" t="s">
        <v>812</v>
      </c>
      <c r="G285" s="63" t="s">
        <v>1141</v>
      </c>
      <c r="H285" s="127"/>
      <c r="I285" s="126" t="s">
        <v>887</v>
      </c>
      <c r="J285" s="99"/>
      <c r="K285" s="100"/>
      <c r="L285" s="100"/>
      <c r="M285" s="100"/>
      <c r="N285" s="100"/>
      <c r="O285" s="100"/>
      <c r="P285" s="100"/>
      <c r="Q285" s="100"/>
      <c r="R285" s="100"/>
      <c r="S285" s="100"/>
      <c r="T285" s="100"/>
      <c r="U285" s="100"/>
      <c r="V285" s="100"/>
      <c r="W285" s="100"/>
      <c r="X285" s="100"/>
      <c r="Y285" s="100"/>
      <c r="Z285" s="100"/>
      <c r="AA285" s="100"/>
      <c r="AB285" s="100"/>
      <c r="AC285" s="100"/>
    </row>
    <row r="286" ht="63.75" customHeight="1">
      <c r="A286" s="51" t="s">
        <v>748</v>
      </c>
      <c r="B286" s="62" t="str">
        <f>VLOOKUP(A286,'HECVAT - Full'!A$24:B$312,2,FALSE)</f>
        <v>Does your application support varying levels of access to records based on user ID?</v>
      </c>
      <c r="C286" s="63" t="s">
        <v>882</v>
      </c>
      <c r="D286" s="126" t="s">
        <v>1142</v>
      </c>
      <c r="E286" s="126" t="s">
        <v>1143</v>
      </c>
      <c r="F286" s="63" t="s">
        <v>812</v>
      </c>
      <c r="G286" s="63" t="s">
        <v>844</v>
      </c>
      <c r="H286" s="127"/>
      <c r="I286" s="126" t="s">
        <v>887</v>
      </c>
      <c r="J286" s="99"/>
      <c r="K286" s="100"/>
      <c r="L286" s="100"/>
      <c r="M286" s="100"/>
      <c r="N286" s="100"/>
      <c r="O286" s="100"/>
      <c r="P286" s="100"/>
      <c r="Q286" s="100"/>
      <c r="R286" s="100"/>
      <c r="S286" s="100"/>
      <c r="T286" s="100"/>
      <c r="U286" s="100"/>
      <c r="V286" s="100"/>
      <c r="W286" s="100"/>
      <c r="X286" s="100"/>
      <c r="Y286" s="100"/>
      <c r="Z286" s="100"/>
      <c r="AA286" s="100"/>
      <c r="AB286" s="100"/>
      <c r="AC286" s="100"/>
    </row>
    <row r="287" ht="46.5" customHeight="1">
      <c r="A287" s="51" t="s">
        <v>750</v>
      </c>
      <c r="B287" s="62" t="str">
        <f>VLOOKUP(A287,'HECVAT - Full'!A$24:B$312,2,FALSE)</f>
        <v>Is there a limit to the number of groups a user can be assigned?</v>
      </c>
      <c r="C287" s="63" t="s">
        <v>882</v>
      </c>
      <c r="D287" s="126" t="s">
        <v>1144</v>
      </c>
      <c r="E287" s="126" t="s">
        <v>1143</v>
      </c>
      <c r="F287" s="63" t="s">
        <v>812</v>
      </c>
      <c r="G287" s="129"/>
      <c r="H287" s="127"/>
      <c r="I287" s="127"/>
      <c r="J287" s="99"/>
      <c r="K287" s="100"/>
      <c r="L287" s="100"/>
      <c r="M287" s="100"/>
      <c r="N287" s="100"/>
      <c r="O287" s="100"/>
      <c r="P287" s="100"/>
      <c r="Q287" s="100"/>
      <c r="R287" s="100"/>
      <c r="S287" s="100"/>
      <c r="T287" s="100"/>
      <c r="U287" s="100"/>
      <c r="V287" s="100"/>
      <c r="W287" s="100"/>
      <c r="X287" s="100"/>
      <c r="Y287" s="100"/>
      <c r="Z287" s="100"/>
      <c r="AA287" s="100"/>
      <c r="AB287" s="100"/>
      <c r="AC287" s="100"/>
    </row>
    <row r="288" ht="46.5" customHeight="1">
      <c r="A288" s="51" t="s">
        <v>752</v>
      </c>
      <c r="B288" s="62" t="str">
        <f>VLOOKUP(A288,'HECVAT - Full'!A$24:B$312,2,FALSE)</f>
        <v>Do accounts used for vendor supplied remote support abide by the same authentication policies and access logging as the rest of the system?</v>
      </c>
      <c r="C288" s="63" t="s">
        <v>1145</v>
      </c>
      <c r="D288" s="126" t="s">
        <v>1144</v>
      </c>
      <c r="E288" s="127"/>
      <c r="F288" s="63" t="s">
        <v>812</v>
      </c>
      <c r="G288" s="63" t="s">
        <v>1018</v>
      </c>
      <c r="H288" s="126" t="s">
        <v>1146</v>
      </c>
      <c r="I288" s="126" t="s">
        <v>887</v>
      </c>
      <c r="J288" s="99"/>
      <c r="K288" s="100"/>
      <c r="L288" s="100"/>
      <c r="M288" s="100"/>
      <c r="N288" s="100"/>
      <c r="O288" s="100"/>
      <c r="P288" s="100"/>
      <c r="Q288" s="100"/>
      <c r="R288" s="100"/>
      <c r="S288" s="100"/>
      <c r="T288" s="100"/>
      <c r="U288" s="100"/>
      <c r="V288" s="100"/>
      <c r="W288" s="100"/>
      <c r="X288" s="100"/>
      <c r="Y288" s="100"/>
      <c r="Z288" s="100"/>
      <c r="AA288" s="100"/>
      <c r="AB288" s="100"/>
      <c r="AC288" s="100"/>
    </row>
    <row r="289" ht="48.0" customHeight="1">
      <c r="A289" s="51" t="s">
        <v>754</v>
      </c>
      <c r="B289" s="62" t="str">
        <f>VLOOKUP(A289,'HECVAT - Full'!A$24:B$312,2,FALSE)</f>
        <v>Does the application log record access including specific user, date/time of access, and originating IP or device? </v>
      </c>
      <c r="C289" s="63" t="s">
        <v>901</v>
      </c>
      <c r="D289" s="126" t="s">
        <v>1147</v>
      </c>
      <c r="E289" s="126" t="s">
        <v>1013</v>
      </c>
      <c r="F289" s="63" t="s">
        <v>812</v>
      </c>
      <c r="G289" s="63" t="s">
        <v>1148</v>
      </c>
      <c r="H289" s="126" t="s">
        <v>1149</v>
      </c>
      <c r="I289" s="130">
        <v>10.7</v>
      </c>
      <c r="J289" s="99"/>
      <c r="K289" s="100"/>
      <c r="L289" s="100"/>
      <c r="M289" s="100"/>
      <c r="N289" s="100"/>
      <c r="O289" s="100"/>
      <c r="P289" s="100"/>
      <c r="Q289" s="100"/>
      <c r="R289" s="100"/>
      <c r="S289" s="100"/>
      <c r="T289" s="100"/>
      <c r="U289" s="100"/>
      <c r="V289" s="100"/>
      <c r="W289" s="100"/>
      <c r="X289" s="100"/>
      <c r="Y289" s="100"/>
      <c r="Z289" s="100"/>
      <c r="AA289" s="100"/>
      <c r="AB289" s="100"/>
      <c r="AC289" s="100"/>
    </row>
    <row r="290" ht="64.5" customHeight="1">
      <c r="A290" s="51" t="s">
        <v>756</v>
      </c>
      <c r="B290" s="62" t="str">
        <f>VLOOKUP(A290,'HECVAT - Full'!A$24:B$312,2,FALSE)</f>
        <v>Does the application log administrative activity, such user account access changes and password changes, including specific user, date/time of changes, and originating IP or device?</v>
      </c>
      <c r="C290" s="63" t="s">
        <v>901</v>
      </c>
      <c r="D290" s="126" t="s">
        <v>1150</v>
      </c>
      <c r="E290" s="126" t="s">
        <v>1013</v>
      </c>
      <c r="F290" s="63" t="s">
        <v>812</v>
      </c>
      <c r="G290" s="129"/>
      <c r="H290" s="127"/>
      <c r="I290" s="130">
        <v>10.7</v>
      </c>
      <c r="J290" s="99"/>
      <c r="K290" s="100"/>
      <c r="L290" s="100"/>
      <c r="M290" s="100"/>
      <c r="N290" s="100"/>
      <c r="O290" s="100"/>
      <c r="P290" s="100"/>
      <c r="Q290" s="100"/>
      <c r="R290" s="100"/>
      <c r="S290" s="100"/>
      <c r="T290" s="100"/>
      <c r="U290" s="100"/>
      <c r="V290" s="100"/>
      <c r="W290" s="100"/>
      <c r="X290" s="100"/>
      <c r="Y290" s="100"/>
      <c r="Z290" s="100"/>
      <c r="AA290" s="100"/>
      <c r="AB290" s="100"/>
      <c r="AC290" s="100"/>
    </row>
    <row r="291" ht="36.0" customHeight="1">
      <c r="A291" s="51" t="s">
        <v>758</v>
      </c>
      <c r="B291" s="62" t="str">
        <f>VLOOKUP(A291,'HECVAT - Full'!A$24:B$312,2,FALSE)</f>
        <v>How long does the application keep access/change logs?</v>
      </c>
      <c r="C291" s="63" t="s">
        <v>901</v>
      </c>
      <c r="D291" s="126" t="s">
        <v>1150</v>
      </c>
      <c r="E291" s="126" t="s">
        <v>1013</v>
      </c>
      <c r="F291" s="63" t="s">
        <v>812</v>
      </c>
      <c r="G291" s="129"/>
      <c r="H291" s="127"/>
      <c r="I291" s="130">
        <v>10.7</v>
      </c>
      <c r="J291" s="99"/>
      <c r="K291" s="100"/>
      <c r="L291" s="100"/>
      <c r="M291" s="100"/>
      <c r="N291" s="100"/>
      <c r="O291" s="100"/>
      <c r="P291" s="100"/>
      <c r="Q291" s="100"/>
      <c r="R291" s="100"/>
      <c r="S291" s="100"/>
      <c r="T291" s="100"/>
      <c r="U291" s="100"/>
      <c r="V291" s="100"/>
      <c r="W291" s="100"/>
      <c r="X291" s="100"/>
      <c r="Y291" s="100"/>
      <c r="Z291" s="100"/>
      <c r="AA291" s="100"/>
      <c r="AB291" s="100"/>
      <c r="AC291" s="100"/>
    </row>
    <row r="292" ht="36.0" customHeight="1">
      <c r="A292" s="51" t="s">
        <v>760</v>
      </c>
      <c r="B292" s="62" t="str">
        <f>VLOOKUP(A292,'HECVAT - Full'!A$24:B$312,2,FALSE)</f>
        <v>Can the application logs be archived? </v>
      </c>
      <c r="C292" s="63" t="s">
        <v>901</v>
      </c>
      <c r="D292" s="126" t="s">
        <v>1150</v>
      </c>
      <c r="E292" s="126" t="s">
        <v>1013</v>
      </c>
      <c r="F292" s="63" t="s">
        <v>812</v>
      </c>
      <c r="G292" s="129"/>
      <c r="H292" s="127"/>
      <c r="I292" s="130">
        <v>10.7</v>
      </c>
      <c r="J292" s="99"/>
      <c r="K292" s="100"/>
      <c r="L292" s="100"/>
      <c r="M292" s="100"/>
      <c r="N292" s="100"/>
      <c r="O292" s="100"/>
      <c r="P292" s="100"/>
      <c r="Q292" s="100"/>
      <c r="R292" s="100"/>
      <c r="S292" s="100"/>
      <c r="T292" s="100"/>
      <c r="U292" s="100"/>
      <c r="V292" s="100"/>
      <c r="W292" s="100"/>
      <c r="X292" s="100"/>
      <c r="Y292" s="100"/>
      <c r="Z292" s="100"/>
      <c r="AA292" s="100"/>
      <c r="AB292" s="100"/>
      <c r="AC292" s="100"/>
    </row>
    <row r="293" ht="36.0" customHeight="1">
      <c r="A293" s="51" t="s">
        <v>762</v>
      </c>
      <c r="B293" s="62" t="str">
        <f>VLOOKUP(A293,'HECVAT - Full'!A$24:B$312,2,FALSE)</f>
        <v>Can the application logs be saved externally? </v>
      </c>
      <c r="C293" s="63" t="s">
        <v>901</v>
      </c>
      <c r="D293" s="126" t="s">
        <v>1150</v>
      </c>
      <c r="E293" s="126" t="s">
        <v>1013</v>
      </c>
      <c r="F293" s="63" t="s">
        <v>812</v>
      </c>
      <c r="G293" s="129"/>
      <c r="H293" s="127"/>
      <c r="I293" s="130">
        <v>10.7</v>
      </c>
      <c r="J293" s="99"/>
      <c r="K293" s="100"/>
      <c r="L293" s="100"/>
      <c r="M293" s="100"/>
      <c r="N293" s="100"/>
      <c r="O293" s="100"/>
      <c r="P293" s="100"/>
      <c r="Q293" s="100"/>
      <c r="R293" s="100"/>
      <c r="S293" s="100"/>
      <c r="T293" s="100"/>
      <c r="U293" s="100"/>
      <c r="V293" s="100"/>
      <c r="W293" s="100"/>
      <c r="X293" s="100"/>
      <c r="Y293" s="100"/>
      <c r="Z293" s="100"/>
      <c r="AA293" s="100"/>
      <c r="AB293" s="100"/>
      <c r="AC293" s="100"/>
    </row>
    <row r="294" ht="48.0" customHeight="1">
      <c r="A294" s="51" t="s">
        <v>764</v>
      </c>
      <c r="B294" s="62" t="str">
        <f>VLOOKUP(A294,'HECVAT - Full'!A$24:B$312,2,FALSE)</f>
        <v>Does your data backup and retention policies and practices meet HIPAA requirements?</v>
      </c>
      <c r="C294" s="63" t="s">
        <v>817</v>
      </c>
      <c r="D294" s="126" t="s">
        <v>1151</v>
      </c>
      <c r="E294" s="126" t="s">
        <v>811</v>
      </c>
      <c r="F294" s="63" t="s">
        <v>812</v>
      </c>
      <c r="G294" s="129"/>
      <c r="H294" s="127"/>
      <c r="I294" s="130">
        <v>10.7</v>
      </c>
      <c r="J294" s="99"/>
      <c r="K294" s="100"/>
      <c r="L294" s="100"/>
      <c r="M294" s="100"/>
      <c r="N294" s="100"/>
      <c r="O294" s="100"/>
      <c r="P294" s="100"/>
      <c r="Q294" s="100"/>
      <c r="R294" s="100"/>
      <c r="S294" s="100"/>
      <c r="T294" s="100"/>
      <c r="U294" s="100"/>
      <c r="V294" s="100"/>
      <c r="W294" s="100"/>
      <c r="X294" s="100"/>
      <c r="Y294" s="100"/>
      <c r="Z294" s="100"/>
      <c r="AA294" s="100"/>
      <c r="AB294" s="100"/>
      <c r="AC294" s="100"/>
    </row>
    <row r="295" ht="46.5" customHeight="1">
      <c r="A295" s="51" t="s">
        <v>766</v>
      </c>
      <c r="B295" s="62" t="str">
        <f>VLOOKUP(A295,'HECVAT - Full'!A$24:B$312,2,FALSE)</f>
        <v>Do you have a disaster recovery plan and emergency mode operation plan?</v>
      </c>
      <c r="C295" s="63" t="s">
        <v>817</v>
      </c>
      <c r="D295" s="126" t="s">
        <v>1152</v>
      </c>
      <c r="E295" s="126" t="s">
        <v>912</v>
      </c>
      <c r="F295" s="63" t="s">
        <v>812</v>
      </c>
      <c r="G295" s="63" t="s">
        <v>913</v>
      </c>
      <c r="H295" s="127"/>
      <c r="I295" s="130">
        <v>12.1</v>
      </c>
      <c r="J295" s="99"/>
      <c r="K295" s="100"/>
      <c r="L295" s="100"/>
      <c r="M295" s="100"/>
      <c r="N295" s="100"/>
      <c r="O295" s="100"/>
      <c r="P295" s="100"/>
      <c r="Q295" s="100"/>
      <c r="R295" s="100"/>
      <c r="S295" s="100"/>
      <c r="T295" s="100"/>
      <c r="U295" s="100"/>
      <c r="V295" s="100"/>
      <c r="W295" s="100"/>
      <c r="X295" s="100"/>
      <c r="Y295" s="100"/>
      <c r="Z295" s="100"/>
      <c r="AA295" s="100"/>
      <c r="AB295" s="100"/>
      <c r="AC295" s="100"/>
    </row>
    <row r="296" ht="36.0" customHeight="1">
      <c r="A296" s="51" t="s">
        <v>768</v>
      </c>
      <c r="B296" s="62" t="str">
        <f>VLOOKUP(A296,'HECVAT - Full'!A$24:B$312,2,FALSE)</f>
        <v>Have the policies/plans mentioned above been tested?</v>
      </c>
      <c r="C296" s="63" t="s">
        <v>817</v>
      </c>
      <c r="D296" s="126" t="s">
        <v>1152</v>
      </c>
      <c r="E296" s="126" t="s">
        <v>917</v>
      </c>
      <c r="F296" s="63" t="s">
        <v>812</v>
      </c>
      <c r="G296" s="63" t="s">
        <v>1153</v>
      </c>
      <c r="H296" s="127"/>
      <c r="I296" s="130">
        <v>12.1</v>
      </c>
      <c r="J296" s="99"/>
      <c r="K296" s="100"/>
      <c r="L296" s="100"/>
      <c r="M296" s="100"/>
      <c r="N296" s="100"/>
      <c r="O296" s="100"/>
      <c r="P296" s="100"/>
      <c r="Q296" s="100"/>
      <c r="R296" s="100"/>
      <c r="S296" s="100"/>
      <c r="T296" s="100"/>
      <c r="U296" s="100"/>
      <c r="V296" s="100"/>
      <c r="W296" s="100"/>
      <c r="X296" s="100"/>
      <c r="Y296" s="100"/>
      <c r="Z296" s="100"/>
      <c r="AA296" s="100"/>
      <c r="AB296" s="100"/>
      <c r="AC296" s="100"/>
    </row>
    <row r="297" ht="36.0" customHeight="1">
      <c r="A297" s="51" t="s">
        <v>770</v>
      </c>
      <c r="B297" s="62" t="str">
        <f>VLOOKUP(A297,'HECVAT - Full'!A$24:B$312,2,FALSE)</f>
        <v>Can you provide a HIPAA compliance attestation document?</v>
      </c>
      <c r="C297" s="63" t="s">
        <v>817</v>
      </c>
      <c r="D297" s="126" t="s">
        <v>1154</v>
      </c>
      <c r="E297" s="126" t="s">
        <v>811</v>
      </c>
      <c r="F297" s="63" t="s">
        <v>812</v>
      </c>
      <c r="G297" s="129"/>
      <c r="H297" s="127"/>
      <c r="I297" s="130">
        <v>10.7</v>
      </c>
      <c r="J297" s="99"/>
      <c r="K297" s="100"/>
      <c r="L297" s="100"/>
      <c r="M297" s="100"/>
      <c r="N297" s="100"/>
      <c r="O297" s="100"/>
      <c r="P297" s="100"/>
      <c r="Q297" s="100"/>
      <c r="R297" s="100"/>
      <c r="S297" s="100"/>
      <c r="T297" s="100"/>
      <c r="U297" s="100"/>
      <c r="V297" s="100"/>
      <c r="W297" s="100"/>
      <c r="X297" s="100"/>
      <c r="Y297" s="100"/>
      <c r="Z297" s="100"/>
      <c r="AA297" s="100"/>
      <c r="AB297" s="100"/>
      <c r="AC297" s="100"/>
    </row>
    <row r="298" ht="52.5" customHeight="1">
      <c r="A298" s="51" t="s">
        <v>772</v>
      </c>
      <c r="B298" s="62" t="str">
        <f>VLOOKUP(A298,'HECVAT - Full'!A$24:B$312,2,FALSE)</f>
        <v>Are you willing to enter into a Business Associate Agreement (BAA)?</v>
      </c>
      <c r="C298" s="63" t="s">
        <v>817</v>
      </c>
      <c r="D298" s="126" t="s">
        <v>1155</v>
      </c>
      <c r="E298" s="126" t="s">
        <v>811</v>
      </c>
      <c r="F298" s="63" t="s">
        <v>812</v>
      </c>
      <c r="G298" s="129"/>
      <c r="H298" s="127"/>
      <c r="I298" s="127"/>
      <c r="J298" s="99"/>
      <c r="K298" s="100"/>
      <c r="L298" s="100"/>
      <c r="M298" s="100"/>
      <c r="N298" s="100"/>
      <c r="O298" s="100"/>
      <c r="P298" s="100"/>
      <c r="Q298" s="100"/>
      <c r="R298" s="100"/>
      <c r="S298" s="100"/>
      <c r="T298" s="100"/>
      <c r="U298" s="100"/>
      <c r="V298" s="100"/>
      <c r="W298" s="100"/>
      <c r="X298" s="100"/>
      <c r="Y298" s="100"/>
      <c r="Z298" s="100"/>
      <c r="AA298" s="100"/>
      <c r="AB298" s="100"/>
      <c r="AC298" s="100"/>
    </row>
    <row r="299" ht="63.0" customHeight="1">
      <c r="A299" s="51" t="s">
        <v>774</v>
      </c>
      <c r="B299" s="62" t="str">
        <f>VLOOKUP(A299,'HECVAT - Full'!A$24:B$312,2,FALSE)</f>
        <v>Have you entered into a BAA with all subcontractors who may have access to protected health information (PHI)?</v>
      </c>
      <c r="C299" s="63" t="s">
        <v>817</v>
      </c>
      <c r="D299" s="126" t="s">
        <v>1156</v>
      </c>
      <c r="E299" s="126" t="s">
        <v>811</v>
      </c>
      <c r="F299" s="63" t="s">
        <v>812</v>
      </c>
      <c r="G299" s="129"/>
      <c r="H299" s="127"/>
      <c r="I299" s="130">
        <v>12.8</v>
      </c>
      <c r="J299" s="99"/>
      <c r="K299" s="100"/>
      <c r="L299" s="100"/>
      <c r="M299" s="100"/>
      <c r="N299" s="100"/>
      <c r="O299" s="100"/>
      <c r="P299" s="100"/>
      <c r="Q299" s="100"/>
      <c r="R299" s="100"/>
      <c r="S299" s="100"/>
      <c r="T299" s="100"/>
      <c r="U299" s="100"/>
      <c r="V299" s="100"/>
      <c r="W299" s="100"/>
      <c r="X299" s="100"/>
      <c r="Y299" s="100"/>
      <c r="Z299" s="100"/>
      <c r="AA299" s="100"/>
      <c r="AB299" s="100"/>
      <c r="AC299" s="100"/>
    </row>
    <row r="300" ht="36.0" customHeight="1">
      <c r="A300" s="45" t="str">
        <f>IF(OR($C$29="No",$C$30="Yes"),"PCI DSS - Optional based on QUALIFIER response.","PCI DSS")</f>
        <v>PCI DSS</v>
      </c>
      <c r="B300" s="14"/>
      <c r="C300" s="60" t="str">
        <f>$C$22</f>
        <v>CIS Critical Security Controls v6.1</v>
      </c>
      <c r="D300" s="60" t="str">
        <f>$D$22</f>
        <v>HIPAA</v>
      </c>
      <c r="E300" s="60" t="str">
        <f>$E$22</f>
        <v>ISO 27002:2013</v>
      </c>
      <c r="F300" s="60" t="str">
        <f>$F$22</f>
        <v>NIST Cybersecurity Framework</v>
      </c>
      <c r="G300" s="60" t="str">
        <f>$G$22</f>
        <v>NIST SP 800-171r1</v>
      </c>
      <c r="H300" s="60" t="str">
        <f>$H$22</f>
        <v>NIST SP 800-53r4</v>
      </c>
      <c r="I300" s="60" t="s">
        <v>808</v>
      </c>
      <c r="J300" s="99"/>
      <c r="K300" s="100"/>
      <c r="L300" s="100"/>
      <c r="M300" s="100"/>
      <c r="N300" s="100"/>
      <c r="O300" s="100"/>
      <c r="P300" s="100"/>
      <c r="Q300" s="100"/>
      <c r="R300" s="100"/>
      <c r="S300" s="100"/>
      <c r="T300" s="100"/>
      <c r="U300" s="100"/>
      <c r="V300" s="100"/>
      <c r="W300" s="100"/>
      <c r="X300" s="100"/>
      <c r="Y300" s="100"/>
      <c r="Z300" s="100"/>
      <c r="AA300" s="100"/>
      <c r="AB300" s="100"/>
      <c r="AC300" s="100"/>
    </row>
    <row r="301" ht="48.0" customHeight="1">
      <c r="A301" s="51" t="s">
        <v>776</v>
      </c>
      <c r="B301" s="62" t="str">
        <f>VLOOKUP(A301,'HECVAT - Full'!A$24:B$312,2,FALSE)</f>
        <v>Do your systems or products store, process, or transmit cardholder (payment/credit/debt card) data?</v>
      </c>
      <c r="C301" s="63" t="s">
        <v>817</v>
      </c>
      <c r="D301" s="128"/>
      <c r="E301" s="126" t="s">
        <v>811</v>
      </c>
      <c r="F301" s="63" t="s">
        <v>812</v>
      </c>
      <c r="G301" s="129"/>
      <c r="H301" s="136"/>
      <c r="I301" s="130">
        <v>12.8</v>
      </c>
      <c r="J301" s="99"/>
      <c r="K301" s="100"/>
      <c r="L301" s="100"/>
      <c r="M301" s="100"/>
      <c r="N301" s="100"/>
      <c r="O301" s="100"/>
      <c r="P301" s="100"/>
      <c r="Q301" s="100"/>
      <c r="R301" s="100"/>
      <c r="S301" s="100"/>
      <c r="T301" s="100"/>
      <c r="U301" s="100"/>
      <c r="V301" s="100"/>
      <c r="W301" s="100"/>
      <c r="X301" s="100"/>
      <c r="Y301" s="100"/>
      <c r="Z301" s="100"/>
      <c r="AA301" s="100"/>
      <c r="AB301" s="100"/>
      <c r="AC301" s="100"/>
    </row>
    <row r="302" ht="48.0" customHeight="1">
      <c r="A302" s="51" t="s">
        <v>779</v>
      </c>
      <c r="B302" s="62" t="str">
        <f>VLOOKUP(A302,'HECVAT - Full'!A$24:B$312,2,FALSE)</f>
        <v>Are you compliant with the Payment Card Industry Data Security Standard (PCI DSS)?</v>
      </c>
      <c r="C302" s="63" t="s">
        <v>817</v>
      </c>
      <c r="D302" s="128"/>
      <c r="E302" s="126" t="s">
        <v>811</v>
      </c>
      <c r="F302" s="63" t="s">
        <v>812</v>
      </c>
      <c r="G302" s="129"/>
      <c r="H302" s="136"/>
      <c r="I302" s="130">
        <v>12.8</v>
      </c>
      <c r="J302" s="99"/>
      <c r="K302" s="100"/>
      <c r="L302" s="100"/>
      <c r="M302" s="100"/>
      <c r="N302" s="100"/>
      <c r="O302" s="100"/>
      <c r="P302" s="100"/>
      <c r="Q302" s="100"/>
      <c r="R302" s="100"/>
      <c r="S302" s="100"/>
      <c r="T302" s="100"/>
      <c r="U302" s="100"/>
      <c r="V302" s="100"/>
      <c r="W302" s="100"/>
      <c r="X302" s="100"/>
      <c r="Y302" s="100"/>
      <c r="Z302" s="100"/>
      <c r="AA302" s="100"/>
      <c r="AB302" s="100"/>
      <c r="AC302" s="100"/>
    </row>
    <row r="303" ht="48.0" customHeight="1">
      <c r="A303" s="51" t="s">
        <v>781</v>
      </c>
      <c r="B303" s="62" t="str">
        <f>VLOOKUP(A303,'HECVAT - Full'!A$24:B$312,2,FALSE)</f>
        <v>Do you have a current, executed within the past year, Attestation of Compliance (AoC) or Report on Compliance (RoC)?</v>
      </c>
      <c r="C303" s="63" t="s">
        <v>817</v>
      </c>
      <c r="D303" s="128"/>
      <c r="E303" s="126" t="s">
        <v>811</v>
      </c>
      <c r="F303" s="63" t="s">
        <v>812</v>
      </c>
      <c r="G303" s="129"/>
      <c r="H303" s="136"/>
      <c r="I303" s="130">
        <v>12.8</v>
      </c>
      <c r="J303" s="99"/>
      <c r="K303" s="100"/>
      <c r="L303" s="100"/>
      <c r="M303" s="100"/>
      <c r="N303" s="100"/>
      <c r="O303" s="100"/>
      <c r="P303" s="100"/>
      <c r="Q303" s="100"/>
      <c r="R303" s="100"/>
      <c r="S303" s="100"/>
      <c r="T303" s="100"/>
      <c r="U303" s="100"/>
      <c r="V303" s="100"/>
      <c r="W303" s="100"/>
      <c r="X303" s="100"/>
      <c r="Y303" s="100"/>
      <c r="Z303" s="100"/>
      <c r="AA303" s="100"/>
      <c r="AB303" s="100"/>
      <c r="AC303" s="100"/>
    </row>
    <row r="304" ht="36.0" customHeight="1">
      <c r="A304" s="51" t="s">
        <v>783</v>
      </c>
      <c r="B304" s="62" t="str">
        <f>VLOOKUP(A304,'HECVAT - Full'!A$24:B$312,2,FALSE)</f>
        <v>Are you classified as a service provider?</v>
      </c>
      <c r="C304" s="128"/>
      <c r="D304" s="128"/>
      <c r="E304" s="136"/>
      <c r="F304" s="63" t="s">
        <v>812</v>
      </c>
      <c r="G304" s="129"/>
      <c r="H304" s="136"/>
      <c r="I304" s="130">
        <v>12.8</v>
      </c>
      <c r="J304" s="99"/>
      <c r="K304" s="100"/>
      <c r="L304" s="100"/>
      <c r="M304" s="100"/>
      <c r="N304" s="100"/>
      <c r="O304" s="100"/>
      <c r="P304" s="100"/>
      <c r="Q304" s="100"/>
      <c r="R304" s="100"/>
      <c r="S304" s="100"/>
      <c r="T304" s="100"/>
      <c r="U304" s="100"/>
      <c r="V304" s="100"/>
      <c r="W304" s="100"/>
      <c r="X304" s="100"/>
      <c r="Y304" s="100"/>
      <c r="Z304" s="100"/>
      <c r="AA304" s="100"/>
      <c r="AB304" s="100"/>
      <c r="AC304" s="100"/>
    </row>
    <row r="305" ht="36.0" customHeight="1">
      <c r="A305" s="51" t="s">
        <v>785</v>
      </c>
      <c r="B305" s="62" t="str">
        <f>VLOOKUP(A305,'HECVAT - Full'!A$24:B$312,2,FALSE)</f>
        <v>Are you on the list of VISA approved service providers? </v>
      </c>
      <c r="C305" s="128"/>
      <c r="D305" s="128"/>
      <c r="E305" s="136"/>
      <c r="F305" s="63" t="s">
        <v>812</v>
      </c>
      <c r="G305" s="129"/>
      <c r="H305" s="136"/>
      <c r="I305" s="130">
        <v>12.8</v>
      </c>
      <c r="J305" s="99"/>
      <c r="K305" s="100"/>
      <c r="L305" s="100"/>
      <c r="M305" s="100"/>
      <c r="N305" s="100"/>
      <c r="O305" s="100"/>
      <c r="P305" s="100"/>
      <c r="Q305" s="100"/>
      <c r="R305" s="100"/>
      <c r="S305" s="100"/>
      <c r="T305" s="100"/>
      <c r="U305" s="100"/>
      <c r="V305" s="100"/>
      <c r="W305" s="100"/>
      <c r="X305" s="100"/>
      <c r="Y305" s="100"/>
      <c r="Z305" s="100"/>
      <c r="AA305" s="100"/>
      <c r="AB305" s="100"/>
      <c r="AC305" s="100"/>
    </row>
    <row r="306" ht="36.0" customHeight="1">
      <c r="A306" s="51" t="s">
        <v>787</v>
      </c>
      <c r="B306" s="62" t="str">
        <f>VLOOKUP(A306,'HECVAT - Full'!A$24:B$312,2,FALSE)</f>
        <v>Are you classified as a merchant?  If so, what level (1, 2, 3, 4)?</v>
      </c>
      <c r="C306" s="128"/>
      <c r="D306" s="128"/>
      <c r="E306" s="136"/>
      <c r="F306" s="63" t="s">
        <v>812</v>
      </c>
      <c r="G306" s="129"/>
      <c r="H306" s="136"/>
      <c r="I306" s="130">
        <v>12.8</v>
      </c>
      <c r="J306" s="99"/>
      <c r="K306" s="100"/>
      <c r="L306" s="100"/>
      <c r="M306" s="100"/>
      <c r="N306" s="100"/>
      <c r="O306" s="100"/>
      <c r="P306" s="100"/>
      <c r="Q306" s="100"/>
      <c r="R306" s="100"/>
      <c r="S306" s="100"/>
      <c r="T306" s="100"/>
      <c r="U306" s="100"/>
      <c r="V306" s="100"/>
      <c r="W306" s="100"/>
      <c r="X306" s="100"/>
      <c r="Y306" s="100"/>
      <c r="Z306" s="100"/>
      <c r="AA306" s="100"/>
      <c r="AB306" s="100"/>
      <c r="AC306" s="100"/>
    </row>
    <row r="307" ht="63.75" customHeight="1">
      <c r="A307" s="51" t="s">
        <v>789</v>
      </c>
      <c r="B307" s="62" t="str">
        <f>VLOOKUP(A307,'HECVAT - Full'!A$24:B$312,2,FALSE)</f>
        <v>Describe the architecture employed by the system to verify and authorize credit card transactions.</v>
      </c>
      <c r="C307" s="63" t="s">
        <v>1157</v>
      </c>
      <c r="D307" s="128"/>
      <c r="E307" s="136"/>
      <c r="F307" s="63" t="s">
        <v>812</v>
      </c>
      <c r="G307" s="137"/>
      <c r="H307" s="136"/>
      <c r="I307" s="126" t="s">
        <v>824</v>
      </c>
      <c r="J307" s="99"/>
      <c r="K307" s="100"/>
      <c r="L307" s="100"/>
      <c r="M307" s="100"/>
      <c r="N307" s="100"/>
      <c r="O307" s="100"/>
      <c r="P307" s="100"/>
      <c r="Q307" s="100"/>
      <c r="R307" s="100"/>
      <c r="S307" s="100"/>
      <c r="T307" s="100"/>
      <c r="U307" s="100"/>
      <c r="V307" s="100"/>
      <c r="W307" s="100"/>
      <c r="X307" s="100"/>
      <c r="Y307" s="100"/>
      <c r="Z307" s="100"/>
      <c r="AA307" s="100"/>
      <c r="AB307" s="100"/>
      <c r="AC307" s="100"/>
    </row>
    <row r="308" ht="63.75" customHeight="1">
      <c r="A308" s="51" t="s">
        <v>791</v>
      </c>
      <c r="B308" s="62" t="str">
        <f>VLOOKUP(A308,'HECVAT - Full'!A$24:B$312,2,FALSE)</f>
        <v>What payment processors/gateways does the system support? </v>
      </c>
      <c r="C308" s="63" t="s">
        <v>814</v>
      </c>
      <c r="D308" s="128"/>
      <c r="E308" s="136"/>
      <c r="F308" s="63" t="s">
        <v>812</v>
      </c>
      <c r="G308" s="137"/>
      <c r="H308" s="136"/>
      <c r="I308" s="130">
        <v>12.8</v>
      </c>
      <c r="J308" s="99"/>
      <c r="K308" s="100"/>
      <c r="L308" s="100"/>
      <c r="M308" s="100"/>
      <c r="N308" s="100"/>
      <c r="O308" s="100"/>
      <c r="P308" s="100"/>
      <c r="Q308" s="100"/>
      <c r="R308" s="100"/>
      <c r="S308" s="100"/>
      <c r="T308" s="100"/>
      <c r="U308" s="100"/>
      <c r="V308" s="100"/>
      <c r="W308" s="100"/>
      <c r="X308" s="100"/>
      <c r="Y308" s="100"/>
      <c r="Z308" s="100"/>
      <c r="AA308" s="100"/>
      <c r="AB308" s="100"/>
      <c r="AC308" s="100"/>
    </row>
    <row r="309" ht="36.0" customHeight="1">
      <c r="A309" s="51" t="s">
        <v>793</v>
      </c>
      <c r="B309" s="62" t="str">
        <f>VLOOKUP(A309,'HECVAT - Full'!A$24:B$312,2,FALSE)</f>
        <v>Can the application be installed in a PCI DSS compliant manner ?</v>
      </c>
      <c r="C309" s="63" t="s">
        <v>817</v>
      </c>
      <c r="D309" s="128"/>
      <c r="E309" s="136"/>
      <c r="F309" s="63" t="s">
        <v>812</v>
      </c>
      <c r="G309" s="129"/>
      <c r="H309" s="136"/>
      <c r="I309" s="130">
        <v>12.8</v>
      </c>
      <c r="J309" s="99"/>
      <c r="K309" s="100"/>
      <c r="L309" s="100"/>
      <c r="M309" s="100"/>
      <c r="N309" s="100"/>
      <c r="O309" s="100"/>
      <c r="P309" s="100"/>
      <c r="Q309" s="100"/>
      <c r="R309" s="100"/>
      <c r="S309" s="100"/>
      <c r="T309" s="100"/>
      <c r="U309" s="100"/>
      <c r="V309" s="100"/>
      <c r="W309" s="100"/>
      <c r="X309" s="100"/>
      <c r="Y309" s="100"/>
      <c r="Z309" s="100"/>
      <c r="AA309" s="100"/>
      <c r="AB309" s="100"/>
      <c r="AC309" s="100"/>
    </row>
    <row r="310" ht="36.0" customHeight="1">
      <c r="A310" s="51" t="s">
        <v>795</v>
      </c>
      <c r="B310" s="62" t="str">
        <f>VLOOKUP(A310,'HECVAT - Full'!A$24:B$312,2,FALSE)</f>
        <v>Is the application listed as an approved PA-DSS application? </v>
      </c>
      <c r="C310" s="128"/>
      <c r="D310" s="128"/>
      <c r="E310" s="136"/>
      <c r="F310" s="63" t="s">
        <v>812</v>
      </c>
      <c r="G310" s="129"/>
      <c r="H310" s="136"/>
      <c r="I310" s="130">
        <v>12.8</v>
      </c>
      <c r="J310" s="99"/>
      <c r="K310" s="100"/>
      <c r="L310" s="100"/>
      <c r="M310" s="100"/>
      <c r="N310" s="100"/>
      <c r="O310" s="100"/>
      <c r="P310" s="100"/>
      <c r="Q310" s="100"/>
      <c r="R310" s="100"/>
      <c r="S310" s="100"/>
      <c r="T310" s="100"/>
      <c r="U310" s="100"/>
      <c r="V310" s="100"/>
      <c r="W310" s="100"/>
      <c r="X310" s="100"/>
      <c r="Y310" s="100"/>
      <c r="Z310" s="100"/>
      <c r="AA310" s="100"/>
      <c r="AB310" s="100"/>
      <c r="AC310" s="100"/>
    </row>
    <row r="311" ht="54.0" customHeight="1">
      <c r="A311" s="51" t="s">
        <v>797</v>
      </c>
      <c r="B311" s="62" t="str">
        <f>VLOOKUP(A311,'HECVAT - Full'!A$24:B$312,2,FALSE)</f>
        <v>Does the system or products use a third party to collect, store, process, or transmit cardholder (payment/credit/debt card) data?</v>
      </c>
      <c r="C311" s="63" t="s">
        <v>1158</v>
      </c>
      <c r="D311" s="128"/>
      <c r="E311" s="136"/>
      <c r="F311" s="63" t="s">
        <v>812</v>
      </c>
      <c r="G311" s="129"/>
      <c r="H311" s="136"/>
      <c r="I311" s="130">
        <v>12.8</v>
      </c>
      <c r="J311" s="99"/>
      <c r="K311" s="100"/>
      <c r="L311" s="100"/>
      <c r="M311" s="100"/>
      <c r="N311" s="100"/>
      <c r="O311" s="100"/>
      <c r="P311" s="100"/>
      <c r="Q311" s="100"/>
      <c r="R311" s="100"/>
      <c r="S311" s="100"/>
      <c r="T311" s="100"/>
      <c r="U311" s="100"/>
      <c r="V311" s="100"/>
      <c r="W311" s="100"/>
      <c r="X311" s="100"/>
      <c r="Y311" s="100"/>
      <c r="Z311" s="100"/>
      <c r="AA311" s="100"/>
      <c r="AB311" s="100"/>
      <c r="AC311" s="100"/>
    </row>
    <row r="312" ht="63.75" customHeight="1">
      <c r="A312" s="51" t="s">
        <v>799</v>
      </c>
      <c r="B312" s="62" t="str">
        <f>VLOOKUP(A312,'HECVAT - Full'!A$24:B$312,2,FALSE)</f>
        <v>Include documentation describing the systems' abilities to comply with the PCI DSS and any features or capabilities of the system that must be added or changed in order to operate in compliance with the standards. </v>
      </c>
      <c r="C312" s="63" t="s">
        <v>817</v>
      </c>
      <c r="D312" s="128"/>
      <c r="E312" s="136"/>
      <c r="F312" s="63" t="s">
        <v>812</v>
      </c>
      <c r="G312" s="137"/>
      <c r="H312" s="136"/>
      <c r="I312" s="130">
        <v>12.8</v>
      </c>
      <c r="J312" s="99"/>
      <c r="K312" s="100"/>
      <c r="L312" s="100"/>
      <c r="M312" s="100"/>
      <c r="N312" s="100"/>
      <c r="O312" s="100"/>
      <c r="P312" s="100"/>
      <c r="Q312" s="100"/>
      <c r="R312" s="100"/>
      <c r="S312" s="100"/>
      <c r="T312" s="100"/>
      <c r="U312" s="100"/>
      <c r="V312" s="100"/>
      <c r="W312" s="100"/>
      <c r="X312" s="100"/>
      <c r="Y312" s="100"/>
      <c r="Z312" s="100"/>
      <c r="AA312" s="100"/>
      <c r="AB312" s="100"/>
      <c r="AC312" s="100"/>
    </row>
    <row r="313" ht="18.0" customHeight="1">
      <c r="A313" s="138"/>
      <c r="B313" s="139"/>
      <c r="C313" s="140"/>
      <c r="D313" s="141"/>
      <c r="E313" s="141"/>
      <c r="F313" s="140"/>
      <c r="G313" s="140"/>
      <c r="H313" s="141"/>
      <c r="I313" s="139"/>
      <c r="J313" s="9"/>
      <c r="K313" s="9"/>
      <c r="L313" s="9"/>
      <c r="M313" s="9"/>
      <c r="N313" s="9"/>
      <c r="O313" s="9"/>
      <c r="P313" s="9"/>
      <c r="Q313" s="9"/>
      <c r="R313" s="9"/>
      <c r="S313" s="9"/>
      <c r="T313" s="9"/>
      <c r="U313" s="9"/>
      <c r="V313" s="9"/>
      <c r="W313" s="9"/>
      <c r="X313" s="9"/>
      <c r="Y313" s="9"/>
      <c r="Z313" s="9"/>
      <c r="AA313" s="9"/>
      <c r="AB313" s="9"/>
      <c r="AC313" s="9"/>
    </row>
    <row r="314" ht="18.0" customHeight="1">
      <c r="A314" s="142"/>
      <c r="B314" s="143"/>
      <c r="C314" s="144"/>
      <c r="D314" s="145"/>
      <c r="E314" s="145"/>
      <c r="F314" s="144"/>
      <c r="G314" s="144"/>
      <c r="H314" s="145"/>
      <c r="I314" s="9"/>
      <c r="J314" s="9"/>
      <c r="K314" s="9"/>
      <c r="L314" s="9"/>
      <c r="M314" s="9"/>
      <c r="N314" s="9"/>
      <c r="O314" s="9"/>
      <c r="P314" s="9"/>
      <c r="Q314" s="9"/>
      <c r="R314" s="9"/>
      <c r="S314" s="9"/>
      <c r="T314" s="9"/>
      <c r="U314" s="9"/>
      <c r="V314" s="9"/>
      <c r="W314" s="9"/>
      <c r="X314" s="9"/>
      <c r="Y314" s="9"/>
      <c r="Z314" s="9"/>
      <c r="AA314" s="9"/>
      <c r="AB314" s="9"/>
      <c r="AC314" s="9"/>
    </row>
    <row r="315" ht="15.0" customHeight="1">
      <c r="A315" s="146" t="s">
        <v>802</v>
      </c>
      <c r="B315" s="116">
        <v>4.0</v>
      </c>
      <c r="C315" s="147"/>
      <c r="D315" s="145"/>
      <c r="E315" s="145"/>
      <c r="F315" s="144"/>
      <c r="G315" s="144"/>
      <c r="H315" s="145"/>
      <c r="I315" s="9"/>
      <c r="J315" s="9"/>
      <c r="K315" s="9"/>
      <c r="L315" s="9"/>
      <c r="M315" s="9"/>
      <c r="N315" s="9"/>
      <c r="O315" s="9"/>
      <c r="P315" s="9"/>
      <c r="Q315" s="9"/>
      <c r="R315" s="9"/>
      <c r="S315" s="9"/>
      <c r="T315" s="9"/>
      <c r="U315" s="9"/>
      <c r="V315" s="9"/>
      <c r="W315" s="9"/>
      <c r="X315" s="9"/>
      <c r="Y315" s="9"/>
      <c r="Z315" s="9"/>
      <c r="AA315" s="9"/>
      <c r="AB315" s="9"/>
      <c r="AC315" s="9"/>
    </row>
    <row r="316" ht="15.0" customHeight="1">
      <c r="A316" s="146" t="s">
        <v>803</v>
      </c>
      <c r="B316" s="116">
        <v>5.0</v>
      </c>
      <c r="C316" s="147"/>
      <c r="D316" s="145"/>
      <c r="E316" s="145"/>
      <c r="F316" s="144"/>
      <c r="G316" s="144"/>
      <c r="H316" s="145"/>
      <c r="I316" s="9"/>
      <c r="J316" s="9"/>
      <c r="K316" s="9"/>
      <c r="L316" s="9"/>
      <c r="M316" s="9"/>
      <c r="N316" s="9"/>
      <c r="O316" s="9"/>
      <c r="P316" s="9"/>
      <c r="Q316" s="9"/>
      <c r="R316" s="9"/>
      <c r="S316" s="9"/>
      <c r="T316" s="9"/>
      <c r="U316" s="9"/>
      <c r="V316" s="9"/>
      <c r="W316" s="9"/>
      <c r="X316" s="9"/>
      <c r="Y316" s="9"/>
      <c r="Z316" s="9"/>
      <c r="AA316" s="9"/>
      <c r="AB316" s="9"/>
      <c r="AC316" s="9"/>
    </row>
    <row r="317" ht="15.0" customHeight="1">
      <c r="A317" s="146" t="s">
        <v>804</v>
      </c>
      <c r="B317" s="116">
        <v>6.0</v>
      </c>
      <c r="C317" s="147"/>
      <c r="D317" s="145"/>
      <c r="E317" s="145"/>
      <c r="F317" s="144"/>
      <c r="G317" s="144"/>
      <c r="H317" s="145"/>
      <c r="I317" s="9"/>
      <c r="J317" s="9"/>
      <c r="K317" s="9"/>
      <c r="L317" s="9"/>
      <c r="M317" s="9"/>
      <c r="N317" s="9"/>
      <c r="O317" s="9"/>
      <c r="P317" s="9"/>
      <c r="Q317" s="9"/>
      <c r="R317" s="9"/>
      <c r="S317" s="9"/>
      <c r="T317" s="9"/>
      <c r="U317" s="9"/>
      <c r="V317" s="9"/>
      <c r="W317" s="9"/>
      <c r="X317" s="9"/>
      <c r="Y317" s="9"/>
      <c r="Z317" s="9"/>
      <c r="AA317" s="9"/>
      <c r="AB317" s="9"/>
      <c r="AC317" s="9"/>
    </row>
    <row r="318" ht="15.0" customHeight="1">
      <c r="A318" s="146" t="s">
        <v>805</v>
      </c>
      <c r="B318" s="116">
        <v>7.0</v>
      </c>
      <c r="C318" s="147"/>
      <c r="D318" s="145"/>
      <c r="E318" s="145"/>
      <c r="F318" s="144"/>
      <c r="G318" s="144"/>
      <c r="H318" s="145"/>
      <c r="I318" s="9"/>
      <c r="J318" s="9"/>
      <c r="K318" s="9"/>
      <c r="L318" s="9"/>
      <c r="M318" s="9"/>
      <c r="N318" s="9"/>
      <c r="O318" s="9"/>
      <c r="P318" s="9"/>
      <c r="Q318" s="9"/>
      <c r="R318" s="9"/>
      <c r="S318" s="9"/>
      <c r="T318" s="9"/>
      <c r="U318" s="9"/>
      <c r="V318" s="9"/>
      <c r="W318" s="9"/>
      <c r="X318" s="9"/>
      <c r="Y318" s="9"/>
      <c r="Z318" s="9"/>
      <c r="AA318" s="9"/>
      <c r="AB318" s="9"/>
      <c r="AC318" s="9"/>
    </row>
    <row r="319" ht="15.0" customHeight="1">
      <c r="A319" s="146" t="s">
        <v>806</v>
      </c>
      <c r="B319" s="116">
        <v>8.0</v>
      </c>
      <c r="C319" s="147"/>
      <c r="D319" s="145"/>
      <c r="E319" s="145"/>
      <c r="F319" s="144"/>
      <c r="G319" s="144"/>
      <c r="H319" s="145"/>
      <c r="I319" s="9"/>
      <c r="J319" s="9"/>
      <c r="K319" s="9"/>
      <c r="L319" s="9"/>
      <c r="M319" s="9"/>
      <c r="N319" s="9"/>
      <c r="O319" s="9"/>
      <c r="P319" s="9"/>
      <c r="Q319" s="9"/>
      <c r="R319" s="9"/>
      <c r="S319" s="9"/>
      <c r="T319" s="9"/>
      <c r="U319" s="9"/>
      <c r="V319" s="9"/>
      <c r="W319" s="9"/>
      <c r="X319" s="9"/>
      <c r="Y319" s="9"/>
      <c r="Z319" s="9"/>
      <c r="AA319" s="9"/>
      <c r="AB319" s="9"/>
      <c r="AC319" s="9"/>
    </row>
    <row r="320" ht="15.0" customHeight="1">
      <c r="A320" s="146" t="s">
        <v>807</v>
      </c>
      <c r="B320" s="116">
        <v>9.0</v>
      </c>
      <c r="C320" s="147"/>
      <c r="D320" s="145"/>
      <c r="E320" s="145"/>
      <c r="F320" s="144"/>
      <c r="G320" s="144"/>
      <c r="H320" s="145"/>
      <c r="I320" s="9"/>
      <c r="J320" s="9"/>
      <c r="K320" s="9"/>
      <c r="L320" s="9"/>
      <c r="M320" s="9"/>
      <c r="N320" s="9"/>
      <c r="O320" s="9"/>
      <c r="P320" s="9"/>
      <c r="Q320" s="9"/>
      <c r="R320" s="9"/>
      <c r="S320" s="9"/>
      <c r="T320" s="9"/>
      <c r="U320" s="9"/>
      <c r="V320" s="9"/>
      <c r="W320" s="9"/>
      <c r="X320" s="9"/>
      <c r="Y320" s="9"/>
      <c r="Z320" s="9"/>
      <c r="AA320" s="9"/>
      <c r="AB320" s="9"/>
      <c r="AC320" s="9"/>
    </row>
    <row r="321" ht="15.0" customHeight="1">
      <c r="A321" s="146" t="s">
        <v>808</v>
      </c>
      <c r="B321" s="116">
        <v>10.0</v>
      </c>
      <c r="C321" s="148"/>
      <c r="D321" s="149"/>
      <c r="E321" s="149"/>
      <c r="F321" s="150"/>
      <c r="G321" s="150"/>
      <c r="H321" s="149"/>
      <c r="I321" s="16"/>
      <c r="J321" s="16"/>
      <c r="K321" s="16"/>
      <c r="L321" s="16"/>
      <c r="M321" s="16"/>
      <c r="N321" s="16"/>
      <c r="O321" s="16"/>
      <c r="P321" s="16"/>
      <c r="Q321" s="16"/>
      <c r="R321" s="16"/>
      <c r="S321" s="16"/>
      <c r="T321" s="16"/>
      <c r="U321" s="16"/>
      <c r="V321" s="16"/>
      <c r="W321" s="16"/>
      <c r="X321" s="16"/>
      <c r="Y321" s="16"/>
      <c r="Z321" s="16"/>
      <c r="AA321" s="16"/>
      <c r="AB321" s="16"/>
      <c r="AC321" s="1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row>
  </sheetData>
  <mergeCells count="25">
    <mergeCell ref="A1:I1"/>
    <mergeCell ref="A2:H2"/>
    <mergeCell ref="A22:B22"/>
    <mergeCell ref="A31:B31"/>
    <mergeCell ref="A38:B38"/>
    <mergeCell ref="A46:B46"/>
    <mergeCell ref="A51:B51"/>
    <mergeCell ref="A61:B61"/>
    <mergeCell ref="A79:B79"/>
    <mergeCell ref="A97:B97"/>
    <mergeCell ref="A110:B110"/>
    <mergeCell ref="A126:B126"/>
    <mergeCell ref="A155:B155"/>
    <mergeCell ref="A158:B158"/>
    <mergeCell ref="A253:B253"/>
    <mergeCell ref="A258:B258"/>
    <mergeCell ref="A268:B268"/>
    <mergeCell ref="A300:B300"/>
    <mergeCell ref="A178:B178"/>
    <mergeCell ref="A192:B192"/>
    <mergeCell ref="A205:B205"/>
    <mergeCell ref="A217:B217"/>
    <mergeCell ref="A223:B223"/>
    <mergeCell ref="A244:B244"/>
    <mergeCell ref="A247:B247"/>
  </mergeCells>
  <printOptions/>
  <pageMargins bottom="1.0" footer="0.0" header="0.0" left="0.75" right="0.75" top="1.0"/>
  <pageSetup orientation="landscape"/>
  <headerFooter>
    <oddFooter>&amp;L000000	&amp;P</oddFooter>
  </headerFooter>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20.11"/>
    <col customWidth="1" min="2" max="2" width="14.44"/>
    <col customWidth="1" min="3" max="3" width="26.0"/>
    <col customWidth="1" min="4" max="4" width="11.44"/>
    <col customWidth="1" min="5" max="5" width="14.67"/>
    <col customWidth="1" min="6" max="6" width="16.67"/>
    <col customWidth="1" min="7" max="7" width="11.22"/>
    <col customWidth="1" min="8" max="8" width="21.78"/>
    <col customWidth="1" min="9" max="26" width="8.44"/>
  </cols>
  <sheetData>
    <row r="1" ht="36.0" customHeight="1">
      <c r="A1" s="151" t="s">
        <v>1159</v>
      </c>
      <c r="B1" s="40"/>
      <c r="C1" s="40"/>
      <c r="D1" s="40"/>
      <c r="E1" s="40"/>
      <c r="F1" s="40"/>
      <c r="G1" s="152"/>
      <c r="H1" s="153" t="str">
        <f>'HECVAT - Full'!E1</f>
        <v>Version 2.11</v>
      </c>
      <c r="I1" s="6"/>
      <c r="J1" s="6"/>
      <c r="K1" s="6"/>
      <c r="L1" s="6"/>
      <c r="M1" s="6"/>
      <c r="N1" s="6"/>
      <c r="O1" s="6"/>
      <c r="P1" s="6"/>
      <c r="Q1" s="6"/>
      <c r="R1" s="6"/>
      <c r="S1" s="6"/>
      <c r="T1" s="6"/>
      <c r="U1" s="6"/>
      <c r="V1" s="6"/>
      <c r="W1" s="6"/>
      <c r="X1" s="6"/>
      <c r="Y1" s="6"/>
      <c r="Z1" s="6"/>
    </row>
    <row r="2" ht="25.5" customHeight="1">
      <c r="A2" s="42" t="s">
        <v>37</v>
      </c>
      <c r="B2" s="40"/>
      <c r="C2" s="40"/>
      <c r="D2" s="40"/>
      <c r="E2" s="40"/>
      <c r="F2" s="40"/>
      <c r="G2" s="40"/>
      <c r="H2" s="14"/>
      <c r="I2" s="6"/>
      <c r="J2" s="6"/>
      <c r="K2" s="6"/>
      <c r="L2" s="6"/>
      <c r="M2" s="6"/>
      <c r="N2" s="6"/>
      <c r="O2" s="6"/>
      <c r="P2" s="6"/>
      <c r="Q2" s="6"/>
      <c r="R2" s="6"/>
      <c r="S2" s="6"/>
      <c r="T2" s="6"/>
      <c r="U2" s="6"/>
      <c r="V2" s="6"/>
      <c r="W2" s="6"/>
      <c r="X2" s="6"/>
      <c r="Y2" s="6"/>
      <c r="Z2" s="6"/>
    </row>
    <row r="3" ht="25.5" customHeight="1">
      <c r="A3" s="154" t="s">
        <v>77</v>
      </c>
      <c r="B3" s="155"/>
      <c r="C3" s="155"/>
      <c r="D3" s="155"/>
      <c r="E3" s="155"/>
      <c r="F3" s="155"/>
      <c r="G3" s="155"/>
      <c r="H3" s="156"/>
      <c r="I3" s="6"/>
      <c r="J3" s="6"/>
      <c r="K3" s="6"/>
      <c r="L3" s="6"/>
      <c r="M3" s="6"/>
      <c r="N3" s="6"/>
      <c r="O3" s="6"/>
      <c r="P3" s="6"/>
      <c r="Q3" s="6"/>
      <c r="R3" s="6"/>
      <c r="S3" s="6"/>
      <c r="T3" s="6"/>
      <c r="U3" s="6"/>
      <c r="V3" s="6"/>
      <c r="W3" s="6"/>
      <c r="X3" s="6"/>
      <c r="Y3" s="6"/>
      <c r="Z3" s="6"/>
    </row>
    <row r="4" ht="40.5" customHeight="1">
      <c r="A4" s="157" t="s">
        <v>1160</v>
      </c>
      <c r="B4" s="158"/>
      <c r="C4" s="158"/>
      <c r="D4" s="158"/>
      <c r="E4" s="158"/>
      <c r="F4" s="158"/>
      <c r="G4" s="158"/>
      <c r="H4" s="159"/>
      <c r="I4" s="6"/>
      <c r="J4" s="6"/>
      <c r="K4" s="6"/>
      <c r="L4" s="6"/>
      <c r="M4" s="6"/>
      <c r="N4" s="6"/>
      <c r="O4" s="6"/>
      <c r="P4" s="6"/>
      <c r="Q4" s="6"/>
      <c r="R4" s="6"/>
      <c r="S4" s="6"/>
      <c r="T4" s="6"/>
      <c r="U4" s="6"/>
      <c r="V4" s="6"/>
      <c r="W4" s="6"/>
      <c r="X4" s="6"/>
      <c r="Y4" s="6"/>
      <c r="Z4" s="6"/>
    </row>
    <row r="5" ht="48.0" customHeight="1">
      <c r="A5" s="160" t="s">
        <v>43</v>
      </c>
      <c r="B5" s="161" t="str">
        <f>'HECVAT - Full'!C7</f>
        <v>GATHERACT LLC</v>
      </c>
      <c r="C5" s="14"/>
      <c r="D5" s="162"/>
      <c r="E5" s="160" t="s">
        <v>46</v>
      </c>
      <c r="F5" s="163" t="str">
        <f>'HECVAT - Full'!C8</f>
        <v>LTIAAS</v>
      </c>
      <c r="G5" s="40"/>
      <c r="H5" s="14"/>
      <c r="I5" s="6"/>
      <c r="J5" s="6"/>
      <c r="K5" s="6"/>
      <c r="L5" s="6"/>
      <c r="M5" s="6"/>
      <c r="N5" s="6"/>
      <c r="O5" s="6"/>
      <c r="P5" s="6"/>
      <c r="Q5" s="6"/>
      <c r="R5" s="6"/>
      <c r="S5" s="6"/>
      <c r="T5" s="6"/>
      <c r="U5" s="6"/>
      <c r="V5" s="6"/>
      <c r="W5" s="6"/>
      <c r="X5" s="6"/>
      <c r="Y5" s="6"/>
      <c r="Z5" s="6"/>
    </row>
    <row r="6" ht="48.0" customHeight="1">
      <c r="A6" s="160" t="s">
        <v>55</v>
      </c>
      <c r="B6" s="164" t="str">
        <f>'HECVAT - Full'!C11</f>
        <v>Joe Crop</v>
      </c>
      <c r="C6" s="14"/>
      <c r="D6" s="165"/>
      <c r="E6" s="160" t="s">
        <v>49</v>
      </c>
      <c r="F6" s="163" t="str">
        <f>'HECVAT - Full'!C9</f>
        <v>A cloud-hosted API service enabling the LTI protocols</v>
      </c>
      <c r="G6" s="40"/>
      <c r="H6" s="14"/>
      <c r="I6" s="6"/>
      <c r="J6" s="6"/>
      <c r="K6" s="6"/>
      <c r="L6" s="6"/>
      <c r="M6" s="6"/>
      <c r="N6" s="6"/>
      <c r="O6" s="6"/>
      <c r="P6" s="6"/>
      <c r="Q6" s="6"/>
      <c r="R6" s="6"/>
      <c r="S6" s="6"/>
      <c r="T6" s="6"/>
      <c r="U6" s="6"/>
      <c r="V6" s="6"/>
      <c r="W6" s="6"/>
      <c r="X6" s="6"/>
      <c r="Y6" s="6"/>
      <c r="Z6" s="6"/>
    </row>
    <row r="7" ht="48.0" customHeight="1">
      <c r="A7" s="160" t="s">
        <v>58</v>
      </c>
      <c r="B7" s="164" t="str">
        <f>'HECVAT - Full'!C12</f>
        <v>CEO</v>
      </c>
      <c r="C7" s="14"/>
      <c r="D7" s="166"/>
      <c r="E7" s="160" t="s">
        <v>1161</v>
      </c>
      <c r="F7" s="163" t="s">
        <v>1162</v>
      </c>
      <c r="G7" s="40"/>
      <c r="H7" s="14"/>
      <c r="I7" s="6"/>
      <c r="J7" s="6"/>
      <c r="K7" s="6"/>
      <c r="L7" s="6"/>
      <c r="M7" s="6"/>
      <c r="N7" s="6"/>
      <c r="O7" s="6"/>
      <c r="P7" s="6"/>
      <c r="Q7" s="6"/>
      <c r="R7" s="6"/>
      <c r="S7" s="6"/>
      <c r="T7" s="6"/>
      <c r="U7" s="6"/>
      <c r="V7" s="6"/>
      <c r="W7" s="6"/>
      <c r="X7" s="6"/>
      <c r="Y7" s="6"/>
      <c r="Z7" s="6"/>
    </row>
    <row r="8" ht="48.0" customHeight="1">
      <c r="A8" s="160" t="s">
        <v>1163</v>
      </c>
      <c r="B8" s="167" t="str">
        <f>'HECVAT - Full'!C13</f>
        <v>joecrop@ltiaas.com</v>
      </c>
      <c r="C8" s="14"/>
      <c r="D8" s="168"/>
      <c r="E8" s="160" t="s">
        <v>1164</v>
      </c>
      <c r="F8" s="169">
        <f>'HECVAT - Full'!C3</f>
        <v>44477</v>
      </c>
      <c r="G8" s="40"/>
      <c r="H8" s="14"/>
      <c r="I8" s="6"/>
      <c r="J8" s="6"/>
      <c r="K8" s="6"/>
      <c r="L8" s="6"/>
      <c r="M8" s="6"/>
      <c r="N8" s="6"/>
      <c r="O8" s="6"/>
      <c r="P8" s="6"/>
      <c r="Q8" s="6"/>
      <c r="R8" s="6"/>
      <c r="S8" s="6"/>
      <c r="T8" s="6"/>
      <c r="U8" s="6"/>
      <c r="V8" s="6"/>
      <c r="W8" s="6"/>
      <c r="X8" s="6"/>
      <c r="Y8" s="6"/>
      <c r="Z8" s="6"/>
    </row>
    <row r="9" ht="24.75" customHeight="1">
      <c r="A9" s="170"/>
      <c r="B9" s="171"/>
      <c r="C9" s="171"/>
      <c r="D9" s="172"/>
      <c r="E9" s="173"/>
      <c r="F9" s="174"/>
      <c r="G9" s="174"/>
      <c r="H9" s="175"/>
      <c r="I9" s="6"/>
      <c r="J9" s="6"/>
      <c r="K9" s="6"/>
      <c r="L9" s="6"/>
      <c r="M9" s="6"/>
      <c r="N9" s="6"/>
      <c r="O9" s="6"/>
      <c r="P9" s="6"/>
      <c r="Q9" s="6"/>
      <c r="R9" s="6"/>
      <c r="S9" s="6"/>
      <c r="T9" s="6"/>
      <c r="U9" s="6"/>
      <c r="V9" s="6"/>
      <c r="W9" s="6"/>
      <c r="X9" s="6"/>
      <c r="Y9" s="6"/>
      <c r="Z9" s="6"/>
    </row>
    <row r="10" ht="48.0" customHeight="1">
      <c r="A10" s="176" t="s">
        <v>1165</v>
      </c>
      <c r="B10" s="170"/>
      <c r="C10" s="65" t="str">
        <f>IF(B10="","&lt;- Select your security framework.","")</f>
        <v>&lt;- Select your security framework.</v>
      </c>
      <c r="D10" s="177"/>
      <c r="E10" s="40"/>
      <c r="F10" s="40"/>
      <c r="G10" s="40"/>
      <c r="H10" s="14"/>
      <c r="I10" s="6"/>
      <c r="J10" s="6"/>
      <c r="K10" s="6"/>
      <c r="L10" s="6"/>
      <c r="M10" s="6"/>
      <c r="N10" s="6"/>
      <c r="O10" s="6"/>
      <c r="P10" s="6"/>
      <c r="Q10" s="6"/>
      <c r="R10" s="6"/>
      <c r="S10" s="6"/>
      <c r="T10" s="6"/>
      <c r="U10" s="6"/>
      <c r="V10" s="6"/>
      <c r="W10" s="6"/>
      <c r="X10" s="6"/>
      <c r="Y10" s="6"/>
      <c r="Z10" s="6"/>
    </row>
    <row r="11" ht="24.0" customHeight="1">
      <c r="A11" s="178"/>
      <c r="B11" s="40"/>
      <c r="C11" s="34"/>
      <c r="D11" s="179"/>
      <c r="E11" s="179"/>
      <c r="F11" s="179"/>
      <c r="G11" s="180"/>
      <c r="H11" s="180"/>
      <c r="I11" s="6"/>
      <c r="J11" s="6"/>
      <c r="K11" s="6"/>
      <c r="L11" s="6"/>
      <c r="M11" s="6"/>
      <c r="N11" s="6"/>
      <c r="O11" s="6"/>
      <c r="P11" s="6"/>
      <c r="Q11" s="6"/>
      <c r="R11" s="6"/>
      <c r="S11" s="6"/>
      <c r="T11" s="6"/>
      <c r="U11" s="6"/>
      <c r="V11" s="6"/>
      <c r="W11" s="6"/>
      <c r="X11" s="6"/>
      <c r="Y11" s="6"/>
      <c r="Z11" s="6"/>
    </row>
    <row r="12" ht="24.0" customHeight="1">
      <c r="A12" s="181"/>
      <c r="B12" s="182"/>
      <c r="C12" s="183" t="s">
        <v>1166</v>
      </c>
      <c r="D12" s="183" t="s">
        <v>1167</v>
      </c>
      <c r="E12" s="183" t="s">
        <v>1168</v>
      </c>
      <c r="F12" s="183" t="s">
        <v>1169</v>
      </c>
      <c r="G12" s="184"/>
      <c r="H12" s="181"/>
      <c r="I12" s="6"/>
      <c r="J12" s="6"/>
      <c r="K12" s="6"/>
      <c r="L12" s="6"/>
      <c r="M12" s="6"/>
      <c r="N12" s="6"/>
      <c r="O12" s="6"/>
      <c r="P12" s="6"/>
      <c r="Q12" s="6"/>
      <c r="R12" s="6"/>
      <c r="S12" s="6"/>
      <c r="T12" s="6"/>
      <c r="U12" s="6"/>
      <c r="V12" s="6"/>
      <c r="W12" s="6"/>
      <c r="X12" s="6"/>
      <c r="Y12" s="6"/>
      <c r="Z12" s="6"/>
    </row>
    <row r="13" ht="18.0" customHeight="1">
      <c r="A13" s="181"/>
      <c r="B13" s="182"/>
      <c r="C13" s="185" t="str">
        <f>Questions!T2</f>
        <v>Documentation</v>
      </c>
      <c r="D13" s="133">
        <f>Questions!X2</f>
        <v>105</v>
      </c>
      <c r="E13" s="133">
        <f>Questions!W2</f>
        <v>60</v>
      </c>
      <c r="F13" s="186">
        <f>Questions!Y2</f>
        <v>0.5714285714</v>
      </c>
      <c r="G13" s="184"/>
      <c r="H13" s="181"/>
      <c r="I13" s="6"/>
      <c r="J13" s="6"/>
      <c r="K13" s="6"/>
      <c r="L13" s="6"/>
      <c r="M13" s="6"/>
      <c r="N13" s="6"/>
      <c r="O13" s="6"/>
      <c r="P13" s="6"/>
      <c r="Q13" s="6"/>
      <c r="R13" s="6"/>
      <c r="S13" s="6"/>
      <c r="T13" s="6"/>
      <c r="U13" s="6"/>
      <c r="V13" s="6"/>
      <c r="W13" s="6"/>
      <c r="X13" s="6"/>
      <c r="Y13" s="6"/>
      <c r="Z13" s="6"/>
    </row>
    <row r="14" ht="18.0" customHeight="1">
      <c r="A14" s="181"/>
      <c r="B14" s="182"/>
      <c r="C14" s="185" t="str">
        <f>Questions!T3</f>
        <v>Application Security</v>
      </c>
      <c r="D14" s="133">
        <f>Questions!X3</f>
        <v>375</v>
      </c>
      <c r="E14" s="133">
        <f>Questions!W3</f>
        <v>200</v>
      </c>
      <c r="F14" s="186">
        <f>Questions!Y3</f>
        <v>0.5333333333</v>
      </c>
      <c r="G14" s="184"/>
      <c r="H14" s="181"/>
      <c r="I14" s="6"/>
      <c r="J14" s="6"/>
      <c r="K14" s="6"/>
      <c r="L14" s="6"/>
      <c r="M14" s="6"/>
      <c r="N14" s="6"/>
      <c r="O14" s="6"/>
      <c r="P14" s="6"/>
      <c r="Q14" s="6"/>
      <c r="R14" s="6"/>
      <c r="S14" s="6"/>
      <c r="T14" s="6"/>
      <c r="U14" s="6"/>
      <c r="V14" s="6"/>
      <c r="W14" s="6"/>
      <c r="X14" s="6"/>
      <c r="Y14" s="6"/>
      <c r="Z14" s="6"/>
    </row>
    <row r="15" ht="28.5" customHeight="1">
      <c r="A15" s="181"/>
      <c r="B15" s="182"/>
      <c r="C15" s="185" t="str">
        <f>Questions!T4</f>
        <v>Authentication, Authorization, and Accounting</v>
      </c>
      <c r="D15" s="133">
        <f>Questions!X4</f>
        <v>425</v>
      </c>
      <c r="E15" s="133">
        <f>Questions!W4</f>
        <v>315</v>
      </c>
      <c r="F15" s="186">
        <f>Questions!Y4</f>
        <v>0.7411764706</v>
      </c>
      <c r="G15" s="184"/>
      <c r="H15" s="181"/>
      <c r="I15" s="6"/>
      <c r="J15" s="6"/>
      <c r="K15" s="6"/>
      <c r="L15" s="6"/>
      <c r="M15" s="6"/>
      <c r="N15" s="6"/>
      <c r="O15" s="6"/>
      <c r="P15" s="6"/>
      <c r="Q15" s="6"/>
      <c r="R15" s="6"/>
      <c r="S15" s="6"/>
      <c r="T15" s="6"/>
      <c r="U15" s="6"/>
      <c r="V15" s="6"/>
      <c r="W15" s="6"/>
      <c r="X15" s="6"/>
      <c r="Y15" s="6"/>
      <c r="Z15" s="6"/>
    </row>
    <row r="16" ht="18.0" customHeight="1">
      <c r="A16" s="181"/>
      <c r="B16" s="182"/>
      <c r="C16" s="185" t="str">
        <f>Questions!T5</f>
        <v>Change Management</v>
      </c>
      <c r="D16" s="133">
        <f>Questions!X5</f>
        <v>275</v>
      </c>
      <c r="E16" s="133">
        <f>Questions!W5</f>
        <v>190</v>
      </c>
      <c r="F16" s="186">
        <f>Questions!Y5</f>
        <v>0.6909090909</v>
      </c>
      <c r="G16" s="184"/>
      <c r="H16" s="181"/>
      <c r="I16" s="6"/>
      <c r="J16" s="6"/>
      <c r="K16" s="6"/>
      <c r="L16" s="6"/>
      <c r="M16" s="6"/>
      <c r="N16" s="6"/>
      <c r="O16" s="6"/>
      <c r="P16" s="6"/>
      <c r="Q16" s="6"/>
      <c r="R16" s="6"/>
      <c r="S16" s="6"/>
      <c r="T16" s="6"/>
      <c r="U16" s="6"/>
      <c r="V16" s="6"/>
      <c r="W16" s="6"/>
      <c r="X16" s="6"/>
      <c r="Y16" s="6"/>
      <c r="Z16" s="6"/>
    </row>
    <row r="17" ht="18.0" customHeight="1">
      <c r="A17" s="181"/>
      <c r="B17" s="182"/>
      <c r="C17" s="185" t="str">
        <f>Questions!T6</f>
        <v>Company</v>
      </c>
      <c r="D17" s="133">
        <f>Questions!X6</f>
        <v>120</v>
      </c>
      <c r="E17" s="133">
        <f>Questions!W6</f>
        <v>35</v>
      </c>
      <c r="F17" s="186">
        <f>Questions!Y6</f>
        <v>0.2916666667</v>
      </c>
      <c r="G17" s="184"/>
      <c r="H17" s="181"/>
      <c r="I17" s="6"/>
      <c r="J17" s="6"/>
      <c r="K17" s="6"/>
      <c r="L17" s="6"/>
      <c r="M17" s="6"/>
      <c r="N17" s="6"/>
      <c r="O17" s="6"/>
      <c r="P17" s="6"/>
      <c r="Q17" s="6"/>
      <c r="R17" s="6"/>
      <c r="S17" s="6"/>
      <c r="T17" s="6"/>
      <c r="U17" s="6"/>
      <c r="V17" s="6"/>
      <c r="W17" s="6"/>
      <c r="X17" s="6"/>
      <c r="Y17" s="6"/>
      <c r="Z17" s="6"/>
    </row>
    <row r="18" ht="18.0" customHeight="1">
      <c r="A18" s="181"/>
      <c r="B18" s="182"/>
      <c r="C18" s="185" t="str">
        <f>Questions!T7</f>
        <v>Data</v>
      </c>
      <c r="D18" s="133">
        <f>Questions!X7</f>
        <v>565</v>
      </c>
      <c r="E18" s="133">
        <f>Questions!W7</f>
        <v>330</v>
      </c>
      <c r="F18" s="186">
        <f>Questions!Y7</f>
        <v>0.5840707965</v>
      </c>
      <c r="G18" s="184"/>
      <c r="H18" s="181"/>
      <c r="I18" s="6"/>
      <c r="J18" s="6"/>
      <c r="K18" s="6"/>
      <c r="L18" s="6"/>
      <c r="M18" s="6"/>
      <c r="N18" s="6"/>
      <c r="O18" s="6"/>
      <c r="P18" s="6"/>
      <c r="Q18" s="6"/>
      <c r="R18" s="6"/>
      <c r="S18" s="6"/>
      <c r="T18" s="6"/>
      <c r="U18" s="6"/>
      <c r="V18" s="6"/>
      <c r="W18" s="6"/>
      <c r="X18" s="6"/>
      <c r="Y18" s="6"/>
      <c r="Z18" s="6"/>
    </row>
    <row r="19" ht="18.0" customHeight="1">
      <c r="A19" s="181"/>
      <c r="B19" s="182"/>
      <c r="C19" s="185" t="str">
        <f>Questions!T8</f>
        <v>Database</v>
      </c>
      <c r="D19" s="133">
        <f>Questions!X8</f>
        <v>50</v>
      </c>
      <c r="E19" s="133">
        <f>Questions!W8</f>
        <v>50</v>
      </c>
      <c r="F19" s="186">
        <f>Questions!Y8</f>
        <v>1</v>
      </c>
      <c r="G19" s="184"/>
      <c r="H19" s="181"/>
      <c r="I19" s="6"/>
      <c r="J19" s="6"/>
      <c r="K19" s="6"/>
      <c r="L19" s="6"/>
      <c r="M19" s="6"/>
      <c r="N19" s="6"/>
      <c r="O19" s="6"/>
      <c r="P19" s="6"/>
      <c r="Q19" s="6"/>
      <c r="R19" s="6"/>
      <c r="S19" s="6"/>
      <c r="T19" s="6"/>
      <c r="U19" s="6"/>
      <c r="V19" s="6"/>
      <c r="W19" s="6"/>
      <c r="X19" s="6"/>
      <c r="Y19" s="6"/>
      <c r="Z19" s="6"/>
    </row>
    <row r="20" ht="18.0" customHeight="1">
      <c r="A20" s="181"/>
      <c r="B20" s="182"/>
      <c r="C20" s="185" t="str">
        <f>Questions!T9</f>
        <v>Datacenter</v>
      </c>
      <c r="D20" s="133">
        <f>Questions!X9</f>
        <v>310</v>
      </c>
      <c r="E20" s="133">
        <f>Questions!W9</f>
        <v>200</v>
      </c>
      <c r="F20" s="186">
        <f>Questions!Y9</f>
        <v>0.6451612903</v>
      </c>
      <c r="G20" s="184"/>
      <c r="H20" s="181"/>
      <c r="I20" s="6"/>
      <c r="J20" s="6"/>
      <c r="K20" s="6"/>
      <c r="L20" s="6"/>
      <c r="M20" s="6"/>
      <c r="N20" s="6"/>
      <c r="O20" s="6"/>
      <c r="P20" s="6"/>
      <c r="Q20" s="6"/>
      <c r="R20" s="6"/>
      <c r="S20" s="6"/>
      <c r="T20" s="6"/>
      <c r="U20" s="6"/>
      <c r="V20" s="6"/>
      <c r="W20" s="6"/>
      <c r="X20" s="6"/>
      <c r="Y20" s="6"/>
      <c r="Z20" s="6"/>
    </row>
    <row r="21" ht="28.5" customHeight="1">
      <c r="A21" s="181"/>
      <c r="B21" s="182"/>
      <c r="C21" s="185" t="str">
        <f>Questions!T10</f>
        <v>Firewalls, IDS, IPS, and Networking</v>
      </c>
      <c r="D21" s="133">
        <f>Questions!X10</f>
        <v>265</v>
      </c>
      <c r="E21" s="133">
        <f>Questions!W10</f>
        <v>200</v>
      </c>
      <c r="F21" s="186">
        <f>Questions!Y10</f>
        <v>0.7547169811</v>
      </c>
      <c r="G21" s="184"/>
      <c r="H21" s="181"/>
      <c r="I21" s="6"/>
      <c r="J21" s="6"/>
      <c r="K21" s="6"/>
      <c r="L21" s="6"/>
      <c r="M21" s="6"/>
      <c r="N21" s="6"/>
      <c r="O21" s="6"/>
      <c r="P21" s="6"/>
      <c r="Q21" s="6"/>
      <c r="R21" s="6"/>
      <c r="S21" s="6"/>
      <c r="T21" s="6"/>
      <c r="U21" s="6"/>
      <c r="V21" s="6"/>
      <c r="W21" s="6"/>
      <c r="X21" s="6"/>
      <c r="Y21" s="6"/>
      <c r="Z21" s="6"/>
    </row>
    <row r="22" ht="18.0" customHeight="1">
      <c r="A22" s="181"/>
      <c r="B22" s="182"/>
      <c r="C22" s="185" t="str">
        <f>Questions!T11</f>
        <v>Physical Security</v>
      </c>
      <c r="D22" s="133">
        <f>Questions!X11</f>
        <v>100</v>
      </c>
      <c r="E22" s="133">
        <f>Questions!W11</f>
        <v>25</v>
      </c>
      <c r="F22" s="186">
        <f>Questions!Y11</f>
        <v>0.25</v>
      </c>
      <c r="G22" s="184"/>
      <c r="H22" s="181"/>
      <c r="I22" s="6"/>
      <c r="J22" s="6"/>
      <c r="K22" s="6"/>
      <c r="L22" s="6"/>
      <c r="M22" s="6"/>
      <c r="N22" s="6"/>
      <c r="O22" s="6"/>
      <c r="P22" s="6"/>
      <c r="Q22" s="6"/>
      <c r="R22" s="6"/>
      <c r="S22" s="6"/>
      <c r="T22" s="6"/>
      <c r="U22" s="6"/>
      <c r="V22" s="6"/>
      <c r="W22" s="6"/>
      <c r="X22" s="6"/>
      <c r="Y22" s="6"/>
      <c r="Z22" s="6"/>
    </row>
    <row r="23" ht="28.5" customHeight="1">
      <c r="A23" s="181"/>
      <c r="B23" s="182"/>
      <c r="C23" s="185" t="str">
        <f>Questions!T12</f>
        <v>Policies, Procedures, and Processes</v>
      </c>
      <c r="D23" s="133">
        <f>Questions!X12</f>
        <v>420</v>
      </c>
      <c r="E23" s="133">
        <f>Questions!W12</f>
        <v>420</v>
      </c>
      <c r="F23" s="186">
        <f>Questions!Y12</f>
        <v>1</v>
      </c>
      <c r="G23" s="184"/>
      <c r="H23" s="181"/>
      <c r="I23" s="6"/>
      <c r="J23" s="6"/>
      <c r="K23" s="6"/>
      <c r="L23" s="6"/>
      <c r="M23" s="6"/>
      <c r="N23" s="6"/>
      <c r="O23" s="6"/>
      <c r="P23" s="6"/>
      <c r="Q23" s="6"/>
      <c r="R23" s="6"/>
      <c r="S23" s="6"/>
      <c r="T23" s="6"/>
      <c r="U23" s="6"/>
      <c r="V23" s="6"/>
      <c r="W23" s="6"/>
      <c r="X23" s="6"/>
      <c r="Y23" s="6"/>
      <c r="Z23" s="6"/>
    </row>
    <row r="24" ht="28.5" customHeight="1">
      <c r="A24" s="181"/>
      <c r="B24" s="182"/>
      <c r="C24" s="185" t="str">
        <f>Questions!T13</f>
        <v>Systems Management &amp; Configuration</v>
      </c>
      <c r="D24" s="133">
        <f>Questions!X13</f>
        <v>70</v>
      </c>
      <c r="E24" s="133">
        <f>Questions!W13</f>
        <v>55</v>
      </c>
      <c r="F24" s="186">
        <f>Questions!Y13</f>
        <v>0.7857142857</v>
      </c>
      <c r="G24" s="184"/>
      <c r="H24" s="181"/>
      <c r="I24" s="6"/>
      <c r="J24" s="6"/>
      <c r="K24" s="6"/>
      <c r="L24" s="6"/>
      <c r="M24" s="6"/>
      <c r="N24" s="6"/>
      <c r="O24" s="6"/>
      <c r="P24" s="6"/>
      <c r="Q24" s="6"/>
      <c r="R24" s="6"/>
      <c r="S24" s="6"/>
      <c r="T24" s="6"/>
      <c r="U24" s="6"/>
      <c r="V24" s="6"/>
      <c r="W24" s="6"/>
      <c r="X24" s="6"/>
      <c r="Y24" s="6"/>
      <c r="Z24" s="6"/>
    </row>
    <row r="25" ht="18.0" customHeight="1">
      <c r="A25" s="181"/>
      <c r="B25" s="182"/>
      <c r="C25" s="185" t="str">
        <f>Questions!T14</f>
        <v>Vulnerability Scanning</v>
      </c>
      <c r="D25" s="133">
        <f>Questions!X14</f>
        <v>195</v>
      </c>
      <c r="E25" s="133">
        <f>Questions!W14</f>
        <v>160</v>
      </c>
      <c r="F25" s="186">
        <f>Questions!Y14</f>
        <v>0.8205128205</v>
      </c>
      <c r="G25" s="184"/>
      <c r="H25" s="181"/>
      <c r="I25" s="6"/>
      <c r="J25" s="6"/>
      <c r="K25" s="6"/>
      <c r="L25" s="6"/>
      <c r="M25" s="6"/>
      <c r="N25" s="6"/>
      <c r="O25" s="6"/>
      <c r="P25" s="6"/>
      <c r="Q25" s="6"/>
      <c r="R25" s="6"/>
      <c r="S25" s="6"/>
      <c r="T25" s="6"/>
      <c r="U25" s="6"/>
      <c r="V25" s="6"/>
      <c r="W25" s="6"/>
      <c r="X25" s="6"/>
      <c r="Y25" s="6"/>
      <c r="Z25" s="6"/>
    </row>
    <row r="26" ht="18.0" customHeight="1">
      <c r="A26" s="181"/>
      <c r="B26" s="182"/>
      <c r="C26" s="185" t="str">
        <f>Questions!T15</f>
        <v/>
      </c>
      <c r="D26" s="131" t="str">
        <f>Questions!X15</f>
        <v/>
      </c>
      <c r="E26" s="131" t="str">
        <f>Questions!W15</f>
        <v/>
      </c>
      <c r="F26" s="131" t="str">
        <f>Questions!Y15</f>
        <v/>
      </c>
      <c r="G26" s="184"/>
      <c r="H26" s="181"/>
      <c r="I26" s="6"/>
      <c r="J26" s="6"/>
      <c r="K26" s="6"/>
      <c r="L26" s="6"/>
      <c r="M26" s="6"/>
      <c r="N26" s="6"/>
      <c r="O26" s="6"/>
      <c r="P26" s="6"/>
      <c r="Q26" s="6"/>
      <c r="R26" s="6"/>
      <c r="S26" s="6"/>
      <c r="T26" s="6"/>
      <c r="U26" s="6"/>
      <c r="V26" s="6"/>
      <c r="W26" s="6"/>
      <c r="X26" s="6"/>
      <c r="Y26" s="6"/>
      <c r="Z26" s="6"/>
    </row>
    <row r="27" ht="18.0" customHeight="1">
      <c r="A27" s="181"/>
      <c r="B27" s="182"/>
      <c r="C27" s="185" t="str">
        <f>Questions!T16</f>
        <v/>
      </c>
      <c r="D27" s="131" t="str">
        <f>Questions!X16</f>
        <v/>
      </c>
      <c r="E27" s="131" t="str">
        <f>Questions!W16</f>
        <v/>
      </c>
      <c r="F27" s="131" t="str">
        <f>Questions!Y16</f>
        <v/>
      </c>
      <c r="G27" s="184"/>
      <c r="H27" s="181"/>
      <c r="I27" s="6"/>
      <c r="J27" s="6"/>
      <c r="K27" s="6"/>
      <c r="L27" s="6"/>
      <c r="M27" s="6"/>
      <c r="N27" s="6"/>
      <c r="O27" s="6"/>
      <c r="P27" s="6"/>
      <c r="Q27" s="6"/>
      <c r="R27" s="6"/>
      <c r="S27" s="6"/>
      <c r="T27" s="6"/>
      <c r="U27" s="6"/>
      <c r="V27" s="6"/>
      <c r="W27" s="6"/>
      <c r="X27" s="6"/>
      <c r="Y27" s="6"/>
      <c r="Z27" s="6"/>
    </row>
    <row r="28" ht="18.0" customHeight="1">
      <c r="A28" s="181"/>
      <c r="B28" s="182"/>
      <c r="C28" s="185" t="str">
        <f>Questions!T17</f>
        <v>Third Parties</v>
      </c>
      <c r="D28" s="133">
        <f>Questions!X17</f>
        <v>100</v>
      </c>
      <c r="E28" s="133">
        <f>Questions!W17</f>
        <v>0</v>
      </c>
      <c r="F28" s="186">
        <f>Questions!Y17</f>
        <v>0</v>
      </c>
      <c r="G28" s="184"/>
      <c r="H28" s="181"/>
      <c r="I28" s="6"/>
      <c r="J28" s="6"/>
      <c r="K28" s="6"/>
      <c r="L28" s="6"/>
      <c r="M28" s="6"/>
      <c r="N28" s="6"/>
      <c r="O28" s="6"/>
      <c r="P28" s="6"/>
      <c r="Q28" s="6"/>
      <c r="R28" s="6"/>
      <c r="S28" s="6"/>
      <c r="T28" s="6"/>
      <c r="U28" s="6"/>
      <c r="V28" s="6"/>
      <c r="W28" s="6"/>
      <c r="X28" s="6"/>
      <c r="Y28" s="6"/>
      <c r="Z28" s="6"/>
    </row>
    <row r="29" ht="18.0" customHeight="1">
      <c r="A29" s="181"/>
      <c r="B29" s="182"/>
      <c r="C29" s="185" t="str">
        <f>Questions!T18</f>
        <v>Business Continuity Plan</v>
      </c>
      <c r="D29" s="133">
        <f>Questions!X18</f>
        <v>250</v>
      </c>
      <c r="E29" s="133">
        <f>Questions!W18</f>
        <v>225</v>
      </c>
      <c r="F29" s="186">
        <f>Questions!Y18</f>
        <v>0.9</v>
      </c>
      <c r="G29" s="184"/>
      <c r="H29" s="181"/>
      <c r="I29" s="6"/>
      <c r="J29" s="6"/>
      <c r="K29" s="6"/>
      <c r="L29" s="6"/>
      <c r="M29" s="6"/>
      <c r="N29" s="6"/>
      <c r="O29" s="6"/>
      <c r="P29" s="6"/>
      <c r="Q29" s="6"/>
      <c r="R29" s="6"/>
      <c r="S29" s="6"/>
      <c r="T29" s="6"/>
      <c r="U29" s="6"/>
      <c r="V29" s="6"/>
      <c r="W29" s="6"/>
      <c r="X29" s="6"/>
      <c r="Y29" s="6"/>
      <c r="Z29" s="6"/>
    </row>
    <row r="30" ht="18.0" customHeight="1">
      <c r="A30" s="181"/>
      <c r="B30" s="182"/>
      <c r="C30" s="185" t="str">
        <f>Questions!T19</f>
        <v>Disaster Recovery Plan</v>
      </c>
      <c r="D30" s="133">
        <f>Questions!X19</f>
        <v>270</v>
      </c>
      <c r="E30" s="133">
        <f>Questions!W19</f>
        <v>205</v>
      </c>
      <c r="F30" s="186">
        <f>Questions!Y19</f>
        <v>0.7592592593</v>
      </c>
      <c r="G30" s="184"/>
      <c r="H30" s="181"/>
      <c r="I30" s="6"/>
      <c r="J30" s="6"/>
      <c r="K30" s="6"/>
      <c r="L30" s="6"/>
      <c r="M30" s="6"/>
      <c r="N30" s="6"/>
      <c r="O30" s="6"/>
      <c r="P30" s="6"/>
      <c r="Q30" s="6"/>
      <c r="R30" s="6"/>
      <c r="S30" s="6"/>
      <c r="T30" s="6"/>
      <c r="U30" s="6"/>
      <c r="V30" s="6"/>
      <c r="W30" s="6"/>
      <c r="X30" s="6"/>
      <c r="Y30" s="6"/>
      <c r="Z30" s="6"/>
    </row>
    <row r="31" ht="18.0" customHeight="1">
      <c r="A31" s="181"/>
      <c r="B31" s="182"/>
      <c r="C31" s="185" t="str">
        <f>Questions!T20</f>
        <v/>
      </c>
      <c r="D31" s="131" t="str">
        <f>Questions!X20</f>
        <v/>
      </c>
      <c r="E31" s="131" t="str">
        <f>Questions!W20</f>
        <v/>
      </c>
      <c r="F31" s="131" t="str">
        <f>Questions!Y20</f>
        <v/>
      </c>
      <c r="G31" s="184"/>
      <c r="H31" s="181"/>
      <c r="I31" s="6"/>
      <c r="J31" s="6"/>
      <c r="K31" s="6"/>
      <c r="L31" s="6"/>
      <c r="M31" s="6"/>
      <c r="N31" s="6"/>
      <c r="O31" s="6"/>
      <c r="P31" s="6"/>
      <c r="Q31" s="6"/>
      <c r="R31" s="6"/>
      <c r="S31" s="6"/>
      <c r="T31" s="6"/>
      <c r="U31" s="6"/>
      <c r="V31" s="6"/>
      <c r="W31" s="6"/>
      <c r="X31" s="6"/>
      <c r="Y31" s="6"/>
      <c r="Z31" s="6"/>
    </row>
    <row r="32" ht="18.0" customHeight="1">
      <c r="A32" s="181"/>
      <c r="B32" s="182"/>
      <c r="C32" s="185" t="str">
        <f>Questions!T21</f>
        <v/>
      </c>
      <c r="D32" s="131" t="str">
        <f>Questions!X21</f>
        <v/>
      </c>
      <c r="E32" s="131" t="str">
        <f>Questions!W21</f>
        <v/>
      </c>
      <c r="F32" s="186"/>
      <c r="G32" s="184"/>
      <c r="H32" s="181"/>
      <c r="I32" s="6"/>
      <c r="J32" s="6"/>
      <c r="K32" s="6"/>
      <c r="L32" s="6"/>
      <c r="M32" s="6"/>
      <c r="N32" s="6"/>
      <c r="O32" s="6"/>
      <c r="P32" s="6"/>
      <c r="Q32" s="6"/>
      <c r="R32" s="6"/>
      <c r="S32" s="6"/>
      <c r="T32" s="6"/>
      <c r="U32" s="6"/>
      <c r="V32" s="6"/>
      <c r="W32" s="6"/>
      <c r="X32" s="6"/>
      <c r="Y32" s="6"/>
      <c r="Z32" s="6"/>
    </row>
    <row r="33" ht="36.0" customHeight="1">
      <c r="A33" s="181"/>
      <c r="B33" s="182"/>
      <c r="C33" s="183" t="s">
        <v>1170</v>
      </c>
      <c r="D33" s="183" t="str">
        <f>Questions!X23</f>
        <v>D</v>
      </c>
      <c r="E33" s="187">
        <f>Questions!Y23</f>
        <v>2670</v>
      </c>
      <c r="F33" s="188">
        <f>Questions!W23</f>
        <v>0.6454968479</v>
      </c>
      <c r="G33" s="184"/>
      <c r="H33" s="181"/>
      <c r="I33" s="6"/>
      <c r="J33" s="6"/>
      <c r="K33" s="6"/>
      <c r="L33" s="6"/>
      <c r="M33" s="6"/>
      <c r="N33" s="6"/>
      <c r="O33" s="6"/>
      <c r="P33" s="6"/>
      <c r="Q33" s="6"/>
      <c r="R33" s="6"/>
      <c r="S33" s="6"/>
      <c r="T33" s="6"/>
      <c r="U33" s="6"/>
      <c r="V33" s="6"/>
      <c r="W33" s="6"/>
      <c r="X33" s="6"/>
      <c r="Y33" s="6"/>
      <c r="Z33" s="6"/>
    </row>
    <row r="34" ht="18.0" customHeight="1">
      <c r="A34" s="181"/>
      <c r="B34" s="181"/>
      <c r="C34" s="180"/>
      <c r="D34" s="180"/>
      <c r="E34" s="180"/>
      <c r="F34" s="180"/>
      <c r="G34" s="181"/>
      <c r="H34" s="181"/>
      <c r="I34" s="6"/>
      <c r="J34" s="6"/>
      <c r="K34" s="6"/>
      <c r="L34" s="6"/>
      <c r="M34" s="6"/>
      <c r="N34" s="6"/>
      <c r="O34" s="6"/>
      <c r="P34" s="6"/>
      <c r="Q34" s="6"/>
      <c r="R34" s="6"/>
      <c r="S34" s="6"/>
      <c r="T34" s="6"/>
      <c r="U34" s="6"/>
      <c r="V34" s="6"/>
      <c r="W34" s="6"/>
      <c r="X34" s="6"/>
      <c r="Y34" s="6"/>
      <c r="Z34" s="6"/>
    </row>
    <row r="35" ht="18.0" customHeight="1">
      <c r="A35" s="189"/>
      <c r="B35" s="189"/>
      <c r="C35" s="189"/>
      <c r="D35" s="189"/>
      <c r="E35" s="189"/>
      <c r="F35" s="189"/>
      <c r="G35" s="189"/>
      <c r="H35" s="181"/>
      <c r="I35" s="6"/>
      <c r="J35" s="6"/>
      <c r="K35" s="6"/>
      <c r="L35" s="6"/>
      <c r="M35" s="6"/>
      <c r="N35" s="6"/>
      <c r="O35" s="6"/>
      <c r="P35" s="6"/>
      <c r="Q35" s="6"/>
      <c r="R35" s="6"/>
      <c r="S35" s="6"/>
      <c r="T35" s="6"/>
      <c r="U35" s="6"/>
      <c r="V35" s="6"/>
      <c r="W35" s="6"/>
      <c r="X35" s="6"/>
      <c r="Y35" s="6"/>
      <c r="Z35" s="6"/>
    </row>
    <row r="36" ht="36.0" customHeight="1">
      <c r="A36" s="190" t="s">
        <v>1171</v>
      </c>
      <c r="B36" s="40"/>
      <c r="C36" s="40"/>
      <c r="D36" s="40"/>
      <c r="E36" s="40"/>
      <c r="F36" s="40"/>
      <c r="G36" s="14"/>
      <c r="H36" s="184"/>
      <c r="I36" s="6"/>
      <c r="J36" s="6"/>
      <c r="K36" s="6"/>
      <c r="L36" s="6"/>
      <c r="M36" s="6"/>
      <c r="N36" s="6"/>
      <c r="O36" s="6"/>
      <c r="P36" s="6"/>
      <c r="Q36" s="6"/>
      <c r="R36" s="6"/>
      <c r="S36" s="6"/>
      <c r="T36" s="6"/>
      <c r="U36" s="6"/>
      <c r="V36" s="6"/>
      <c r="W36" s="6"/>
      <c r="X36" s="6"/>
      <c r="Y36" s="6"/>
      <c r="Z36" s="6"/>
    </row>
    <row r="37" ht="36.0" customHeight="1">
      <c r="A37" s="191" t="s">
        <v>1172</v>
      </c>
      <c r="B37" s="161" t="s">
        <v>1173</v>
      </c>
      <c r="C37" s="14"/>
      <c r="D37" s="161" t="s">
        <v>1174</v>
      </c>
      <c r="E37" s="40"/>
      <c r="F37" s="14"/>
      <c r="G37" s="191" t="s">
        <v>1175</v>
      </c>
      <c r="H37" s="184"/>
      <c r="I37" s="6"/>
      <c r="J37" s="6"/>
      <c r="K37" s="6"/>
      <c r="L37" s="6"/>
      <c r="M37" s="6"/>
      <c r="N37" s="6"/>
      <c r="O37" s="6"/>
      <c r="P37" s="6"/>
      <c r="Q37" s="6"/>
      <c r="R37" s="6"/>
      <c r="S37" s="6"/>
      <c r="T37" s="6"/>
      <c r="U37" s="6"/>
      <c r="V37" s="6"/>
      <c r="W37" s="6"/>
      <c r="X37" s="6"/>
      <c r="Y37" s="6"/>
      <c r="Z37" s="6"/>
    </row>
    <row r="38" ht="48.0" customHeight="1">
      <c r="A38" s="192" t="str">
        <f>'HECVAT - Full'!A39</f>
        <v>COMP-01</v>
      </c>
      <c r="B38" s="193" t="str">
        <f>'HECVAT - Full'!B39</f>
        <v>Describe your organization’s business background and ownership structure, including all parent and subsidiary relationships.</v>
      </c>
      <c r="C38" s="194"/>
      <c r="D38" s="195" t="str">
        <f>'HECVAT - Full'!C39</f>
        <v>GATHERACT LLC is a multi-member LLC in the state of Oregon. We have no employees, only members/owners. GATHERACT LLC is the owner of the LTIAAS product.</v>
      </c>
      <c r="E38" s="196"/>
      <c r="F38" s="194"/>
      <c r="G38" s="180"/>
      <c r="H38" s="197" t="str">
        <f t="shared" ref="H38:H66" si="1">IF(G38="","Please rate the vendor's answer","")</f>
        <v>Please rate the vendor's answer</v>
      </c>
      <c r="I38" s="6"/>
      <c r="J38" s="6"/>
      <c r="K38" s="6"/>
      <c r="L38" s="6"/>
      <c r="M38" s="6"/>
      <c r="N38" s="6"/>
      <c r="O38" s="6"/>
      <c r="P38" s="6"/>
      <c r="Q38" s="6"/>
      <c r="R38" s="6"/>
      <c r="S38" s="6"/>
      <c r="T38" s="6"/>
      <c r="U38" s="6"/>
      <c r="V38" s="6"/>
      <c r="W38" s="6"/>
      <c r="X38" s="6"/>
      <c r="Y38" s="6"/>
      <c r="Z38" s="6"/>
    </row>
    <row r="39" ht="48.0" customHeight="1">
      <c r="A39" s="198" t="str">
        <f>'HECVAT - Full'!A40</f>
        <v>COMP-02</v>
      </c>
      <c r="B39" s="199" t="str">
        <f>'HECVAT - Full'!B40</f>
        <v>Describe how long your organization has conducted business in this product area.</v>
      </c>
      <c r="C39" s="200"/>
      <c r="D39" s="201" t="str">
        <f>'HECVAT - Full'!C40</f>
        <v>We have officially been in business for over one year. But our combined expertise is greater than 20 years.</v>
      </c>
      <c r="E39" s="202"/>
      <c r="F39" s="200"/>
      <c r="G39" s="181"/>
      <c r="H39" s="197" t="str">
        <f t="shared" si="1"/>
        <v>Please rate the vendor's answer</v>
      </c>
      <c r="I39" s="6"/>
      <c r="J39" s="6"/>
      <c r="K39" s="6"/>
      <c r="L39" s="6"/>
      <c r="M39" s="6"/>
      <c r="N39" s="6"/>
      <c r="O39" s="6"/>
      <c r="P39" s="6"/>
      <c r="Q39" s="6"/>
      <c r="R39" s="6"/>
      <c r="S39" s="6"/>
      <c r="T39" s="6"/>
      <c r="U39" s="6"/>
      <c r="V39" s="6"/>
      <c r="W39" s="6"/>
      <c r="X39" s="6"/>
      <c r="Y39" s="6"/>
      <c r="Z39" s="6"/>
    </row>
    <row r="40" ht="48.0" customHeight="1">
      <c r="A40" s="198" t="str">
        <f>'HECVAT - Full'!A45</f>
        <v>COMP-07</v>
      </c>
      <c r="B40" s="199" t="str">
        <f>'HECVAT - Full'!B45</f>
        <v>Use this area to share information about your environment that will assist those who are assessing your company data security program.</v>
      </c>
      <c r="C40" s="200"/>
      <c r="D40" s="201" t="str">
        <f>'HECVAT - Full'!C45</f>
        <v>We host an API service in the cloud. All services are hosted in Google Cloud services that have built-in threat detection. Each customer has a dedicated subdomain with independent data access roles. We also have several pre-deployment threat protection mechanisms in our GitLab code storage repositories.</v>
      </c>
      <c r="E40" s="202"/>
      <c r="F40" s="200"/>
      <c r="G40" s="181"/>
      <c r="H40" s="197" t="str">
        <f t="shared" si="1"/>
        <v>Please rate the vendor's answer</v>
      </c>
      <c r="I40" s="6"/>
      <c r="J40" s="6"/>
      <c r="K40" s="6"/>
      <c r="L40" s="6"/>
      <c r="M40" s="6"/>
      <c r="N40" s="6"/>
      <c r="O40" s="6"/>
      <c r="P40" s="6"/>
      <c r="Q40" s="6"/>
      <c r="R40" s="6"/>
      <c r="S40" s="6"/>
      <c r="T40" s="6"/>
      <c r="U40" s="6"/>
      <c r="V40" s="6"/>
      <c r="W40" s="6"/>
      <c r="X40" s="6"/>
      <c r="Y40" s="6"/>
      <c r="Z40" s="6"/>
    </row>
    <row r="41" ht="48.0" customHeight="1">
      <c r="A41" s="198" t="str">
        <f>'HECVAT - Full'!A68</f>
        <v>APPL-07</v>
      </c>
      <c r="B41" s="199" t="str">
        <f>'HECVAT - Full'!B68</f>
        <v>What operating system(s) is/are leveraged by the system(s)/application(s) that will have access to institution's data?</v>
      </c>
      <c r="C41" s="200"/>
      <c r="D41" s="201" t="str">
        <f>'HECVAT - Full'!C68</f>
        <v>Google-Managed CloudRun Linux images</v>
      </c>
      <c r="E41" s="202"/>
      <c r="F41" s="200"/>
      <c r="G41" s="181"/>
      <c r="H41" s="197" t="str">
        <f t="shared" si="1"/>
        <v>Please rate the vendor's answer</v>
      </c>
      <c r="I41" s="6"/>
      <c r="J41" s="6"/>
      <c r="K41" s="6"/>
      <c r="L41" s="6"/>
      <c r="M41" s="6"/>
      <c r="N41" s="6"/>
      <c r="O41" s="6"/>
      <c r="P41" s="6"/>
      <c r="Q41" s="6"/>
      <c r="R41" s="6"/>
      <c r="S41" s="6"/>
      <c r="T41" s="6"/>
      <c r="U41" s="6"/>
      <c r="V41" s="6"/>
      <c r="W41" s="6"/>
      <c r="X41" s="6"/>
      <c r="Y41" s="6"/>
      <c r="Z41" s="6"/>
    </row>
    <row r="42" ht="48.0" customHeight="1">
      <c r="A42" s="198" t="str">
        <f>'HECVAT - Full'!A70</f>
        <v>APPL-09</v>
      </c>
      <c r="B42" s="199" t="str">
        <f>'HECVAT - Full'!B70</f>
        <v>Describe or provide a reference to additional software/products necessary to implement a functional system on either the backend or user-interface side of the system. </v>
      </c>
      <c r="C42" s="200"/>
      <c r="D42" s="203" t="str">
        <f>'HECVAT - Full'!C70</f>
        <v>Typically, NodeJs</v>
      </c>
      <c r="E42" s="202"/>
      <c r="F42" s="200"/>
      <c r="G42" s="181"/>
      <c r="H42" s="197" t="str">
        <f t="shared" si="1"/>
        <v>Please rate the vendor's answer</v>
      </c>
      <c r="I42" s="6"/>
      <c r="J42" s="6"/>
      <c r="K42" s="6"/>
      <c r="L42" s="6"/>
      <c r="M42" s="6"/>
      <c r="N42" s="6"/>
      <c r="O42" s="6"/>
      <c r="P42" s="6"/>
      <c r="Q42" s="6"/>
      <c r="R42" s="6"/>
      <c r="S42" s="6"/>
      <c r="T42" s="6"/>
      <c r="U42" s="6"/>
      <c r="V42" s="6"/>
      <c r="W42" s="6"/>
      <c r="X42" s="6"/>
      <c r="Y42" s="6"/>
      <c r="Z42" s="6"/>
    </row>
    <row r="43" ht="48.0" customHeight="1">
      <c r="A43" s="198" t="str">
        <f>'HECVAT - Full'!A71</f>
        <v>APPL-10</v>
      </c>
      <c r="B43" s="199" t="str">
        <f>'HECVAT - Full'!B71</f>
        <v>Describe or provide a reference to the overall system and/or application architecture(s), including appropriate diagrams. Include a full description of the data communications architecture for all components of the system. </v>
      </c>
      <c r="C43" s="200"/>
      <c r="D43" s="204" t="str">
        <f>'HECVAT - Full'!C71</f>
        <v>https://ltiaas.com/compliance</v>
      </c>
      <c r="E43" s="202"/>
      <c r="F43" s="200"/>
      <c r="G43" s="181"/>
      <c r="H43" s="197" t="str">
        <f t="shared" si="1"/>
        <v>Please rate the vendor's answer</v>
      </c>
      <c r="I43" s="6"/>
      <c r="J43" s="6"/>
      <c r="K43" s="6"/>
      <c r="L43" s="6"/>
      <c r="M43" s="6"/>
      <c r="N43" s="6"/>
      <c r="O43" s="6"/>
      <c r="P43" s="6"/>
      <c r="Q43" s="6"/>
      <c r="R43" s="6"/>
      <c r="S43" s="6"/>
      <c r="T43" s="6"/>
      <c r="U43" s="6"/>
      <c r="V43" s="6"/>
      <c r="W43" s="6"/>
      <c r="X43" s="6"/>
      <c r="Y43" s="6"/>
      <c r="Z43" s="6"/>
    </row>
    <row r="44" ht="48.0" customHeight="1">
      <c r="A44" s="198" t="str">
        <f>'HECVAT - Full'!A73</f>
        <v>APPL-12</v>
      </c>
      <c r="B44" s="199" t="str">
        <f>'HECVAT - Full'!B73</f>
        <v>Describe or provide a reference to all web-enabled features and functionality of the system (i.e. accessed via a web-based interface). </v>
      </c>
      <c r="C44" s="200"/>
      <c r="D44" s="201" t="str">
        <f>'HECVAT - Full'!C73</f>
        <v>Each API instance can be accessed in two ways: through REST API that requires an API key only known by the customer. Through a customer portal where settings can be changed, but underlying API data can be accesses, just metadata like number of monthly active users.</v>
      </c>
      <c r="E44" s="202"/>
      <c r="F44" s="200"/>
      <c r="G44" s="181"/>
      <c r="H44" s="197" t="str">
        <f t="shared" si="1"/>
        <v>Please rate the vendor's answer</v>
      </c>
      <c r="I44" s="6"/>
      <c r="J44" s="6"/>
      <c r="K44" s="6"/>
      <c r="L44" s="6"/>
      <c r="M44" s="6"/>
      <c r="N44" s="6"/>
      <c r="O44" s="6"/>
      <c r="P44" s="6"/>
      <c r="Q44" s="6"/>
      <c r="R44" s="6"/>
      <c r="S44" s="6"/>
      <c r="T44" s="6"/>
      <c r="U44" s="6"/>
      <c r="V44" s="6"/>
      <c r="W44" s="6"/>
      <c r="X44" s="6"/>
      <c r="Y44" s="6"/>
      <c r="Z44" s="6"/>
    </row>
    <row r="45" ht="48.0" customHeight="1">
      <c r="A45" s="198" t="str">
        <f>'HECVAT - Full'!A74</f>
        <v>APPL-13</v>
      </c>
      <c r="B45" s="199" t="str">
        <f>'HECVAT - Full'!B74</f>
        <v>Are there any OS and/or web-browser combinations that are not currently supported?</v>
      </c>
      <c r="C45" s="200"/>
      <c r="D45" s="201" t="str">
        <f>'HECVAT - Full'!C74</f>
        <v>No</v>
      </c>
      <c r="E45" s="202"/>
      <c r="F45" s="200"/>
      <c r="G45" s="181"/>
      <c r="H45" s="197" t="str">
        <f t="shared" si="1"/>
        <v>Please rate the vendor's answer</v>
      </c>
      <c r="I45" s="6"/>
      <c r="J45" s="6"/>
      <c r="K45" s="6"/>
      <c r="L45" s="6"/>
      <c r="M45" s="6"/>
      <c r="N45" s="6"/>
      <c r="O45" s="6"/>
      <c r="P45" s="6"/>
      <c r="Q45" s="6"/>
      <c r="R45" s="6"/>
      <c r="S45" s="6"/>
      <c r="T45" s="6"/>
      <c r="U45" s="6"/>
      <c r="V45" s="6"/>
      <c r="W45" s="6"/>
      <c r="X45" s="6"/>
      <c r="Y45" s="6"/>
      <c r="Z45" s="6"/>
    </row>
    <row r="46" ht="48.0" customHeight="1">
      <c r="A46" s="198" t="str">
        <f>'HECVAT - Full'!A76</f>
        <v>APPL-15</v>
      </c>
      <c r="B46" s="199" t="str">
        <f>'HECVAT - Full'!B76</f>
        <v>Describe or provide a reference to the facilities available in the system to provide separation of duties between security administration and system administration functions.</v>
      </c>
      <c r="C46" s="200"/>
      <c r="D46" s="204" t="str">
        <f>'HECVAT - Full'!C76</f>
        <v>This is documented in detail here: https://ltiaas.com/compliance</v>
      </c>
      <c r="E46" s="202"/>
      <c r="F46" s="200"/>
      <c r="G46" s="181"/>
      <c r="H46" s="197" t="str">
        <f t="shared" si="1"/>
        <v>Please rate the vendor's answer</v>
      </c>
      <c r="I46" s="6"/>
      <c r="J46" s="6"/>
      <c r="K46" s="6"/>
      <c r="L46" s="6"/>
      <c r="M46" s="6"/>
      <c r="N46" s="6"/>
      <c r="O46" s="6"/>
      <c r="P46" s="6"/>
      <c r="Q46" s="6"/>
      <c r="R46" s="6"/>
      <c r="S46" s="6"/>
      <c r="T46" s="6"/>
      <c r="U46" s="6"/>
      <c r="V46" s="6"/>
      <c r="W46" s="6"/>
      <c r="X46" s="6"/>
      <c r="Y46" s="6"/>
      <c r="Z46" s="6"/>
    </row>
    <row r="47" ht="48.0" customHeight="1">
      <c r="A47" s="198" t="str">
        <f>'HECVAT - Full'!A77</f>
        <v>APPL-16</v>
      </c>
      <c r="B47" s="199" t="str">
        <f>'HECVAT - Full'!B77</f>
        <v>Describe or provide a reference that details how administrator access is handled (e.g. provisioning, principle of least privilege, deprovisioning, etc.)</v>
      </c>
      <c r="C47" s="200"/>
      <c r="D47" s="204" t="str">
        <f>'HECVAT - Full'!C77</f>
        <v>This is documented in detail here: https://ltiaas.com/compliance</v>
      </c>
      <c r="E47" s="202"/>
      <c r="F47" s="200"/>
      <c r="G47" s="181"/>
      <c r="H47" s="197" t="str">
        <f t="shared" si="1"/>
        <v>Please rate the vendor's answer</v>
      </c>
      <c r="I47" s="6"/>
      <c r="J47" s="6"/>
      <c r="K47" s="6"/>
      <c r="L47" s="6"/>
      <c r="M47" s="6"/>
      <c r="N47" s="6"/>
      <c r="O47" s="6"/>
      <c r="P47" s="6"/>
      <c r="Q47" s="6"/>
      <c r="R47" s="6"/>
      <c r="S47" s="6"/>
      <c r="T47" s="6"/>
      <c r="U47" s="6"/>
      <c r="V47" s="6"/>
      <c r="W47" s="6"/>
      <c r="X47" s="6"/>
      <c r="Y47" s="6"/>
      <c r="Z47" s="6"/>
    </row>
    <row r="48" ht="48.0" customHeight="1">
      <c r="A48" s="198" t="str">
        <f>'HECVAT - Full'!A78</f>
        <v>APPL-17</v>
      </c>
      <c r="B48" s="199" t="str">
        <f>'HECVAT - Full'!B78</f>
        <v>Describe or provide references explaining how tertiary services are redundant (i.e. DNS, ISP, etc.).</v>
      </c>
      <c r="C48" s="200"/>
      <c r="D48" s="204" t="str">
        <f>'HECVAT - Full'!C78</f>
        <v>This is documented in detail here: https://ltiaas.com/compliance</v>
      </c>
      <c r="E48" s="202"/>
      <c r="F48" s="200"/>
      <c r="G48" s="181"/>
      <c r="H48" s="197" t="str">
        <f t="shared" si="1"/>
        <v>Please rate the vendor's answer</v>
      </c>
      <c r="I48" s="6"/>
      <c r="J48" s="6"/>
      <c r="K48" s="6"/>
      <c r="L48" s="6"/>
      <c r="M48" s="6"/>
      <c r="N48" s="6"/>
      <c r="O48" s="6"/>
      <c r="P48" s="6"/>
      <c r="Q48" s="6"/>
      <c r="R48" s="6"/>
      <c r="S48" s="6"/>
      <c r="T48" s="6"/>
      <c r="U48" s="6"/>
      <c r="V48" s="6"/>
      <c r="W48" s="6"/>
      <c r="X48" s="6"/>
      <c r="Y48" s="6"/>
      <c r="Z48" s="6"/>
    </row>
    <row r="49" ht="48.0" customHeight="1">
      <c r="A49" s="198" t="str">
        <f>'HECVAT - Full'!A95</f>
        <v>AAAI-16</v>
      </c>
      <c r="B49" s="199" t="str">
        <f>'HECVAT - Full'!B95</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C49" s="200"/>
      <c r="D49" s="201" t="str">
        <f>'HECVAT - Full'!C95</f>
        <v>All events that take place on our systems are logged via a Google Cloud's logging service. All access logs are stored in Google Cloud as well. This includes audit logs of user authentications.</v>
      </c>
      <c r="E49" s="202"/>
      <c r="F49" s="200"/>
      <c r="G49" s="181"/>
      <c r="H49" s="197" t="str">
        <f t="shared" si="1"/>
        <v>Please rate the vendor's answer</v>
      </c>
      <c r="I49" s="6"/>
      <c r="J49" s="6"/>
      <c r="K49" s="6"/>
      <c r="L49" s="6"/>
      <c r="M49" s="6"/>
      <c r="N49" s="6"/>
      <c r="O49" s="6"/>
      <c r="P49" s="6"/>
      <c r="Q49" s="6"/>
      <c r="R49" s="6"/>
      <c r="S49" s="6"/>
      <c r="T49" s="6"/>
      <c r="U49" s="6"/>
      <c r="V49" s="6"/>
      <c r="W49" s="6"/>
      <c r="X49" s="6"/>
      <c r="Y49" s="6"/>
      <c r="Z49" s="6"/>
    </row>
    <row r="50" ht="48.0" customHeight="1">
      <c r="A50" s="198" t="str">
        <f>'HECVAT - Full'!A112</f>
        <v>CHNG-02</v>
      </c>
      <c r="B50" s="199" t="str">
        <f>'HECVAT - Full'!B112</f>
        <v>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v>
      </c>
      <c r="C50" s="200"/>
      <c r="D50" s="201" t="str">
        <f>'HECVAT - Full'!C112</f>
        <v>Please see our comprehensive security policy at https://ltiaas.com/compliance</v>
      </c>
      <c r="E50" s="202"/>
      <c r="F50" s="200"/>
      <c r="G50" s="181"/>
      <c r="H50" s="197" t="str">
        <f t="shared" si="1"/>
        <v>Please rate the vendor's answer</v>
      </c>
      <c r="I50" s="6"/>
      <c r="J50" s="6"/>
      <c r="K50" s="6"/>
      <c r="L50" s="6"/>
      <c r="M50" s="6"/>
      <c r="N50" s="6"/>
      <c r="O50" s="6"/>
      <c r="P50" s="6"/>
      <c r="Q50" s="6"/>
      <c r="R50" s="6"/>
      <c r="S50" s="6"/>
      <c r="T50" s="6"/>
      <c r="U50" s="6"/>
      <c r="V50" s="6"/>
      <c r="W50" s="6"/>
      <c r="X50" s="6"/>
      <c r="Y50" s="6"/>
      <c r="Z50" s="6"/>
    </row>
    <row r="51" ht="48.0" customHeight="1">
      <c r="A51" s="198" t="str">
        <f>'HECVAT - Full'!A115</f>
        <v>CHNG-05</v>
      </c>
      <c r="B51" s="199" t="str">
        <f>'HECVAT - Full'!B115</f>
        <v>Describe or provide a reference to your solution support strategy in relation to maintaining software currency. (i.e. how many concurrent versions are you willing to run and support?)</v>
      </c>
      <c r="C51" s="200"/>
      <c r="D51" s="201" t="str">
        <f>'HECVAT - Full'!C115</f>
        <v>We have the capability to support any number of concurrent versions, only per customer request. We do not support maintaining versions with potential security vulnerabilities.</v>
      </c>
      <c r="E51" s="202"/>
      <c r="F51" s="200"/>
      <c r="G51" s="181"/>
      <c r="H51" s="197" t="str">
        <f t="shared" si="1"/>
        <v>Please rate the vendor's answer</v>
      </c>
      <c r="I51" s="6"/>
      <c r="J51" s="6"/>
      <c r="K51" s="6"/>
      <c r="L51" s="6"/>
      <c r="M51" s="6"/>
      <c r="N51" s="6"/>
      <c r="O51" s="6"/>
      <c r="P51" s="6"/>
      <c r="Q51" s="6"/>
      <c r="R51" s="6"/>
      <c r="S51" s="6"/>
      <c r="T51" s="6"/>
      <c r="U51" s="6"/>
      <c r="V51" s="6"/>
      <c r="W51" s="6"/>
      <c r="X51" s="6"/>
      <c r="Y51" s="6"/>
      <c r="Z51" s="6"/>
    </row>
    <row r="52" ht="48.0" customHeight="1">
      <c r="A52" s="198" t="str">
        <f>'HECVAT - Full'!A116</f>
        <v>CHNG-06</v>
      </c>
      <c r="B52" s="199" t="str">
        <f>'HECVAT - Full'!B116</f>
        <v>Identify the most current version of the software. Detail the percentage of live customers that are utilizing the proposed version of the software as well as each version of the software currently in use.</v>
      </c>
      <c r="C52" s="200"/>
      <c r="D52" s="201" t="str">
        <f>'HECVAT - Full'!C116</f>
        <v>All customers today are using the latest version of the LTIAAS API service software. Production software on LTIAAS servers is updated regularly with no impact to down time.</v>
      </c>
      <c r="E52" s="202"/>
      <c r="F52" s="200"/>
      <c r="G52" s="181"/>
      <c r="H52" s="197" t="str">
        <f t="shared" si="1"/>
        <v>Please rate the vendor's answer</v>
      </c>
      <c r="I52" s="6"/>
      <c r="J52" s="6"/>
      <c r="K52" s="6"/>
      <c r="L52" s="6"/>
      <c r="M52" s="6"/>
      <c r="N52" s="6"/>
      <c r="O52" s="6"/>
      <c r="P52" s="6"/>
      <c r="Q52" s="6"/>
      <c r="R52" s="6"/>
      <c r="S52" s="6"/>
      <c r="T52" s="6"/>
      <c r="U52" s="6"/>
      <c r="V52" s="6"/>
      <c r="W52" s="6"/>
      <c r="X52" s="6"/>
      <c r="Y52" s="6"/>
      <c r="Z52" s="6"/>
    </row>
    <row r="53" ht="48.0" customHeight="1">
      <c r="A53" s="198" t="str">
        <f>'HECVAT - Full'!A117</f>
        <v>CHNG-07</v>
      </c>
      <c r="B53" s="199" t="str">
        <f>'HECVAT - Full'!B117</f>
        <v>Does the system support client customizations from one release to another?</v>
      </c>
      <c r="C53" s="200"/>
      <c r="D53" s="201" t="str">
        <f>'HECVAT - Full'!C117</f>
        <v>Yes</v>
      </c>
      <c r="E53" s="202"/>
      <c r="F53" s="200"/>
      <c r="G53" s="181"/>
      <c r="H53" s="197" t="str">
        <f t="shared" si="1"/>
        <v>Please rate the vendor's answer</v>
      </c>
      <c r="I53" s="6"/>
      <c r="J53" s="6"/>
      <c r="K53" s="6"/>
      <c r="L53" s="6"/>
      <c r="M53" s="6"/>
      <c r="N53" s="6"/>
      <c r="O53" s="6"/>
      <c r="P53" s="6"/>
      <c r="Q53" s="6"/>
      <c r="R53" s="6"/>
      <c r="S53" s="6"/>
      <c r="T53" s="6"/>
      <c r="U53" s="6"/>
      <c r="V53" s="6"/>
      <c r="W53" s="6"/>
      <c r="X53" s="6"/>
      <c r="Y53" s="6"/>
      <c r="Z53" s="6"/>
    </row>
    <row r="54" ht="48.0" customHeight="1">
      <c r="A54" s="198" t="str">
        <f>'HECVAT - Full'!A133</f>
        <v>DATA-07</v>
      </c>
      <c r="B54" s="199" t="str">
        <f>'HECVAT - Full'!B133</f>
        <v>List all locations (i.e. city + datacenter name) where the institution's data will be stored?</v>
      </c>
      <c r="C54" s="200"/>
      <c r="D54" s="203" t="str">
        <f>'HECVAT - Full'!C133</f>
        <v>Google Cloud data centers in Iowa and Oklahoma. The Google Datachenter in South Carolina is used as a witness region for database consistency.</v>
      </c>
      <c r="E54" s="202"/>
      <c r="F54" s="200"/>
      <c r="G54" s="181"/>
      <c r="H54" s="197" t="str">
        <f t="shared" si="1"/>
        <v>Please rate the vendor's answer</v>
      </c>
      <c r="I54" s="6"/>
      <c r="J54" s="6"/>
      <c r="K54" s="6"/>
      <c r="L54" s="6"/>
      <c r="M54" s="6"/>
      <c r="N54" s="6"/>
      <c r="O54" s="6"/>
      <c r="P54" s="6"/>
      <c r="Q54" s="6"/>
      <c r="R54" s="6"/>
      <c r="S54" s="6"/>
      <c r="T54" s="6"/>
      <c r="U54" s="6"/>
      <c r="V54" s="6"/>
      <c r="W54" s="6"/>
      <c r="X54" s="6"/>
      <c r="Y54" s="6"/>
      <c r="Z54" s="6"/>
    </row>
    <row r="55" ht="48.0" customHeight="1">
      <c r="A55" s="198" t="str">
        <f>'HECVAT - Full'!A140</f>
        <v>DATA-14</v>
      </c>
      <c r="B55" s="199" t="str">
        <f>'HECVAT - Full'!B140</f>
        <v>Describe or provide a reference to the backup processes for the servers on which the service and/or data resides. </v>
      </c>
      <c r="C55" s="200"/>
      <c r="D55" s="203" t="str">
        <f>'HECVAT - Full'!C140</f>
        <v>Our backup strategy is two-pronged. The state of our services is contained in manifest files that can be easily and immediately redeployed. All data in our database is backed up daily. Backups are done with Google Cloud Storage and are automatically deleted after 30 days.</v>
      </c>
      <c r="E55" s="202"/>
      <c r="F55" s="200"/>
      <c r="G55" s="181"/>
      <c r="H55" s="197" t="str">
        <f t="shared" si="1"/>
        <v>Please rate the vendor's answer</v>
      </c>
      <c r="I55" s="6"/>
      <c r="J55" s="6"/>
      <c r="K55" s="6"/>
      <c r="L55" s="6"/>
      <c r="M55" s="6"/>
      <c r="N55" s="6"/>
      <c r="O55" s="6"/>
      <c r="P55" s="6"/>
      <c r="Q55" s="6"/>
      <c r="R55" s="6"/>
      <c r="S55" s="6"/>
      <c r="T55" s="6"/>
      <c r="U55" s="6"/>
      <c r="V55" s="6"/>
      <c r="W55" s="6"/>
      <c r="X55" s="6"/>
      <c r="Y55" s="6"/>
      <c r="Z55" s="6"/>
    </row>
    <row r="56" ht="48.0" customHeight="1">
      <c r="A56" s="198" t="str">
        <f>'HECVAT - Full'!A142</f>
        <v>DATA-16</v>
      </c>
      <c r="B56" s="199" t="str">
        <f>'HECVAT - Full'!B142</f>
        <v>How long are data backups stored?</v>
      </c>
      <c r="C56" s="200"/>
      <c r="D56" s="203" t="str">
        <f>'HECVAT - Full'!C142</f>
        <v>30 days</v>
      </c>
      <c r="E56" s="202"/>
      <c r="F56" s="200"/>
      <c r="G56" s="181"/>
      <c r="H56" s="197" t="str">
        <f t="shared" si="1"/>
        <v>Please rate the vendor's answer</v>
      </c>
      <c r="I56" s="6"/>
      <c r="J56" s="6"/>
      <c r="K56" s="6"/>
      <c r="L56" s="6"/>
      <c r="M56" s="6"/>
      <c r="N56" s="6"/>
      <c r="O56" s="6"/>
      <c r="P56" s="6"/>
      <c r="Q56" s="6"/>
      <c r="R56" s="6"/>
      <c r="S56" s="6"/>
      <c r="T56" s="6"/>
      <c r="U56" s="6"/>
      <c r="V56" s="6"/>
      <c r="W56" s="6"/>
      <c r="X56" s="6"/>
      <c r="Y56" s="6"/>
      <c r="Z56" s="6"/>
    </row>
    <row r="57" ht="48.0" customHeight="1">
      <c r="A57" s="198" t="str">
        <f>'HECVAT - Full'!A165</f>
        <v>DCTR-07</v>
      </c>
      <c r="B57" s="199" t="str">
        <f>'HECVAT - Full'!B165</f>
        <v>Select the option that best describes the network segment that servers are connected to.</v>
      </c>
      <c r="C57" s="200"/>
      <c r="D57" s="203" t="str">
        <f>'HECVAT - Full'!C165</f>
        <v>Exclusive VLAN</v>
      </c>
      <c r="E57" s="202"/>
      <c r="F57" s="200"/>
      <c r="G57" s="181"/>
      <c r="H57" s="197" t="str">
        <f t="shared" si="1"/>
        <v>Please rate the vendor's answer</v>
      </c>
      <c r="I57" s="6"/>
      <c r="J57" s="6"/>
      <c r="K57" s="6"/>
      <c r="L57" s="6"/>
      <c r="M57" s="6"/>
      <c r="N57" s="6"/>
      <c r="O57" s="6"/>
      <c r="P57" s="6"/>
      <c r="Q57" s="6"/>
      <c r="R57" s="6"/>
      <c r="S57" s="6"/>
      <c r="T57" s="6"/>
      <c r="U57" s="6"/>
      <c r="V57" s="6"/>
      <c r="W57" s="6"/>
      <c r="X57" s="6"/>
      <c r="Y57" s="6"/>
      <c r="Z57" s="6"/>
    </row>
    <row r="58" ht="48.0" customHeight="1">
      <c r="A58" s="198" t="str">
        <f>'HECVAT - Full'!A168</f>
        <v>DCTR-10</v>
      </c>
      <c r="B58" s="199" t="str">
        <f>'HECVAT - Full'!B168</f>
        <v>List all datacenters and the cities, states (provinces), and countries where the Institution's data will be stored (including within the Institution's Data Zone).   </v>
      </c>
      <c r="C58" s="200"/>
      <c r="D58" s="203" t="str">
        <f>'HECVAT - Full'!C168</f>
        <v>San Francisco, USA; Iowa, USA</v>
      </c>
      <c r="E58" s="202"/>
      <c r="F58" s="200"/>
      <c r="G58" s="181"/>
      <c r="H58" s="197" t="str">
        <f t="shared" si="1"/>
        <v>Please rate the vendor's answer</v>
      </c>
      <c r="I58" s="6"/>
      <c r="J58" s="6"/>
      <c r="K58" s="6"/>
      <c r="L58" s="6"/>
      <c r="M58" s="6"/>
      <c r="N58" s="6"/>
      <c r="O58" s="6"/>
      <c r="P58" s="6"/>
      <c r="Q58" s="6"/>
      <c r="R58" s="6"/>
      <c r="S58" s="6"/>
      <c r="T58" s="6"/>
      <c r="U58" s="6"/>
      <c r="V58" s="6"/>
      <c r="W58" s="6"/>
      <c r="X58" s="6"/>
      <c r="Y58" s="6"/>
      <c r="Z58" s="6"/>
    </row>
    <row r="59" ht="48.0" customHeight="1">
      <c r="A59" s="198" t="str">
        <f>'HECVAT - Full'!A171</f>
        <v>DCTR-13</v>
      </c>
      <c r="B59" s="199" t="str">
        <f>'HECVAT - Full'!B171</f>
        <v>What Tier Level is your data center (per levels defined by the Uptime Institute)?</v>
      </c>
      <c r="C59" s="200"/>
      <c r="D59" s="203" t="str">
        <f>'HECVAT - Full'!C171</f>
        <v>Tier IV</v>
      </c>
      <c r="E59" s="202"/>
      <c r="F59" s="200"/>
      <c r="G59" s="181"/>
      <c r="H59" s="197" t="str">
        <f t="shared" si="1"/>
        <v>Please rate the vendor's answer</v>
      </c>
      <c r="I59" s="6"/>
      <c r="J59" s="6"/>
      <c r="K59" s="6"/>
      <c r="L59" s="6"/>
      <c r="M59" s="6"/>
      <c r="N59" s="6"/>
      <c r="O59" s="6"/>
      <c r="P59" s="6"/>
      <c r="Q59" s="6"/>
      <c r="R59" s="6"/>
      <c r="S59" s="6"/>
      <c r="T59" s="6"/>
      <c r="U59" s="6"/>
      <c r="V59" s="6"/>
      <c r="W59" s="6"/>
      <c r="X59" s="6"/>
      <c r="Y59" s="6"/>
      <c r="Z59" s="6"/>
    </row>
    <row r="60" ht="48.0" customHeight="1">
      <c r="A60" s="198" t="str">
        <f>'HECVAT - Full'!A175</f>
        <v>DCTR-17</v>
      </c>
      <c r="B60" s="199" t="str">
        <f>'HECVAT - Full'!B175</f>
        <v>Describe or provide a reference to the availability of cooling and fire suppression systems in all datacenters where institution data will reside.</v>
      </c>
      <c r="C60" s="200"/>
      <c r="D60" s="203" t="str">
        <f>'HECVAT - Full'!C175</f>
        <v>All data centers we use are SOC-2 compliant</v>
      </c>
      <c r="E60" s="202"/>
      <c r="F60" s="200"/>
      <c r="G60" s="181"/>
      <c r="H60" s="197" t="str">
        <f t="shared" si="1"/>
        <v>Please rate the vendor's answer</v>
      </c>
      <c r="I60" s="6"/>
      <c r="J60" s="6"/>
      <c r="K60" s="6"/>
      <c r="L60" s="6"/>
      <c r="M60" s="6"/>
      <c r="N60" s="6"/>
      <c r="O60" s="6"/>
      <c r="P60" s="6"/>
      <c r="Q60" s="6"/>
      <c r="R60" s="6"/>
      <c r="S60" s="6"/>
      <c r="T60" s="6"/>
      <c r="U60" s="6"/>
      <c r="V60" s="6"/>
      <c r="W60" s="6"/>
      <c r="X60" s="6"/>
      <c r="Y60" s="6"/>
      <c r="Z60" s="6"/>
    </row>
    <row r="61" ht="48.0" customHeight="1">
      <c r="A61" s="198" t="str">
        <f>'HECVAT - Full'!A176</f>
        <v>DCTR-18</v>
      </c>
      <c r="B61" s="199" t="str">
        <f>'HECVAT - Full'!B176</f>
        <v>State how many Internet Service Providers (ISPs) provide connectivity to each datacenter where the institution's data will reside. </v>
      </c>
      <c r="C61" s="200"/>
      <c r="D61" s="203" t="str">
        <f>'HECVAT - Full'!C176</f>
        <v>Unknown</v>
      </c>
      <c r="E61" s="202"/>
      <c r="F61" s="200"/>
      <c r="G61" s="181"/>
      <c r="H61" s="197" t="str">
        <f t="shared" si="1"/>
        <v>Please rate the vendor's answer</v>
      </c>
      <c r="I61" s="6"/>
      <c r="J61" s="6"/>
      <c r="K61" s="6"/>
      <c r="L61" s="6"/>
      <c r="M61" s="6"/>
      <c r="N61" s="6"/>
      <c r="O61" s="6"/>
      <c r="P61" s="6"/>
      <c r="Q61" s="6"/>
      <c r="R61" s="6"/>
      <c r="S61" s="6"/>
      <c r="T61" s="6"/>
      <c r="U61" s="6"/>
      <c r="V61" s="6"/>
      <c r="W61" s="6"/>
      <c r="X61" s="6"/>
      <c r="Y61" s="6"/>
      <c r="Z61" s="6"/>
    </row>
    <row r="62" ht="48.0" customHeight="1">
      <c r="A62" s="198" t="str">
        <f>'HECVAT - Full'!A195</f>
        <v>FIDP-03</v>
      </c>
      <c r="B62" s="199" t="str">
        <f>'HECVAT - Full'!B195</f>
        <v>State and describe who has the authority to change firewall rules?</v>
      </c>
      <c r="C62" s="200"/>
      <c r="D62" s="203" t="str">
        <f>'HECVAT - Full'!C195</f>
        <v>CEO only</v>
      </c>
      <c r="E62" s="202"/>
      <c r="F62" s="200"/>
      <c r="G62" s="181"/>
      <c r="H62" s="197" t="str">
        <f t="shared" si="1"/>
        <v>Please rate the vendor's answer</v>
      </c>
      <c r="I62" s="6"/>
      <c r="J62" s="6"/>
      <c r="K62" s="6"/>
      <c r="L62" s="6"/>
      <c r="M62" s="6"/>
      <c r="N62" s="6"/>
      <c r="O62" s="6"/>
      <c r="P62" s="6"/>
      <c r="Q62" s="6"/>
      <c r="R62" s="6"/>
      <c r="S62" s="6"/>
      <c r="T62" s="6"/>
      <c r="U62" s="6"/>
      <c r="V62" s="6"/>
      <c r="W62" s="6"/>
      <c r="X62" s="6"/>
      <c r="Y62" s="6"/>
      <c r="Z62" s="6"/>
    </row>
    <row r="63" ht="48.0" customHeight="1">
      <c r="A63" s="198" t="str">
        <f>'HECVAT - Full'!A203</f>
        <v>FIDP-11</v>
      </c>
      <c r="B63" s="199" t="str">
        <f>'HECVAT - Full'!B203</f>
        <v>Is intrusion monitoring performed internally or by a third-party service?</v>
      </c>
      <c r="C63" s="200"/>
      <c r="D63" s="203" t="str">
        <f>'HECVAT - Full'!C203</f>
        <v>third-party: Google Cloud</v>
      </c>
      <c r="E63" s="202"/>
      <c r="F63" s="200"/>
      <c r="G63" s="181"/>
      <c r="H63" s="197" t="str">
        <f t="shared" si="1"/>
        <v>Please rate the vendor's answer</v>
      </c>
      <c r="I63" s="6"/>
      <c r="J63" s="6"/>
      <c r="K63" s="6"/>
      <c r="L63" s="6"/>
      <c r="M63" s="6"/>
      <c r="N63" s="6"/>
      <c r="O63" s="6"/>
      <c r="P63" s="6"/>
      <c r="Q63" s="6"/>
      <c r="R63" s="6"/>
      <c r="S63" s="6"/>
      <c r="T63" s="6"/>
      <c r="U63" s="6"/>
      <c r="V63" s="6"/>
      <c r="W63" s="6"/>
      <c r="X63" s="6"/>
      <c r="Y63" s="6"/>
      <c r="Z63" s="6"/>
    </row>
    <row r="64" ht="48.0" customHeight="1">
      <c r="A64" s="198" t="str">
        <f>'HECVAT - Full'!A248</f>
        <v>QLAS-01</v>
      </c>
      <c r="B64" s="201" t="str">
        <f>'HECVAT - Full'!B248</f>
        <v>Provide a general summary of your Quality Assurance program.</v>
      </c>
      <c r="C64" s="200"/>
      <c r="D64" s="203" t="str">
        <f>'HECVAT - Full'!C248</f>
        <v>We don't have a formailly documented one, other than our code quality enforceemnts</v>
      </c>
      <c r="E64" s="202"/>
      <c r="F64" s="200"/>
      <c r="G64" s="181"/>
      <c r="H64" s="197" t="str">
        <f t="shared" si="1"/>
        <v>Please rate the vendor's answer</v>
      </c>
      <c r="I64" s="6"/>
      <c r="J64" s="6"/>
      <c r="K64" s="6"/>
      <c r="L64" s="6"/>
      <c r="M64" s="6"/>
      <c r="N64" s="6"/>
      <c r="O64" s="6"/>
      <c r="P64" s="6"/>
      <c r="Q64" s="6"/>
      <c r="R64" s="6"/>
      <c r="S64" s="6"/>
      <c r="T64" s="6"/>
      <c r="U64" s="6"/>
      <c r="V64" s="6"/>
      <c r="W64" s="6"/>
      <c r="X64" s="6"/>
      <c r="Y64" s="6"/>
      <c r="Z64" s="6"/>
    </row>
    <row r="65" ht="48.0" customHeight="1">
      <c r="A65" s="198" t="str">
        <f>'HECVAT - Full'!A264</f>
        <v>VULN-06</v>
      </c>
      <c r="B65" s="201" t="str">
        <f>'HECVAT - Full'!B264</f>
        <v>Describe or provide a reference to the tool(s) used to scan for vulnerabilities in your applications and systems.</v>
      </c>
      <c r="C65" s="200"/>
      <c r="D65" s="203" t="str">
        <f>'HECVAT - Full'!C264</f>
        <v>Trivy and Qualys</v>
      </c>
      <c r="E65" s="202"/>
      <c r="F65" s="200"/>
      <c r="G65" s="181"/>
      <c r="H65" s="197" t="str">
        <f t="shared" si="1"/>
        <v>Please rate the vendor's answer</v>
      </c>
      <c r="I65" s="6"/>
      <c r="J65" s="6"/>
      <c r="K65" s="6"/>
      <c r="L65" s="6"/>
      <c r="M65" s="6"/>
      <c r="N65" s="6"/>
      <c r="O65" s="6"/>
      <c r="P65" s="6"/>
      <c r="Q65" s="6"/>
      <c r="R65" s="6"/>
      <c r="S65" s="6"/>
      <c r="T65" s="6"/>
      <c r="U65" s="6"/>
      <c r="V65" s="6"/>
      <c r="W65" s="6"/>
      <c r="X65" s="6"/>
      <c r="Y65" s="6"/>
      <c r="Z65" s="6"/>
    </row>
    <row r="66" ht="48.0" customHeight="1">
      <c r="A66" s="205" t="str">
        <f>'HECVAT - Full'!A266</f>
        <v>VULN-08</v>
      </c>
      <c r="B66" s="206" t="str">
        <f>'HECVAT - Full'!B266</f>
        <v>Describe or provide a reference to how you monitor for and protect against common web application security vulnerabilities (e.g. SQL injection, XSS, XSRF, etc.).</v>
      </c>
      <c r="C66" s="207"/>
      <c r="D66" s="208" t="str">
        <f>'HECVAT - Full'!C266</f>
        <v>We sanitize all queries and have a CORS policy that is as strict as possible for our application</v>
      </c>
      <c r="E66" s="209"/>
      <c r="F66" s="207"/>
      <c r="G66" s="210"/>
      <c r="H66" s="197" t="str">
        <f t="shared" si="1"/>
        <v>Please rate the vendor's answer</v>
      </c>
      <c r="I66" s="6"/>
      <c r="J66" s="6"/>
      <c r="K66" s="6"/>
      <c r="L66" s="6"/>
      <c r="M66" s="6"/>
      <c r="N66" s="6"/>
      <c r="O66" s="6"/>
      <c r="P66" s="6"/>
      <c r="Q66" s="6"/>
      <c r="R66" s="6"/>
      <c r="S66" s="6"/>
      <c r="T66" s="6"/>
      <c r="U66" s="6"/>
      <c r="V66" s="6"/>
      <c r="W66" s="6"/>
      <c r="X66" s="6"/>
      <c r="Y66" s="6"/>
      <c r="Z66" s="6"/>
    </row>
    <row r="67" ht="48.0" customHeight="1">
      <c r="A67" s="211" t="s">
        <v>1176</v>
      </c>
      <c r="B67" s="212" t="str">
        <f>'HECVAT - Full'!C24</f>
        <v>No</v>
      </c>
      <c r="C67" s="213"/>
      <c r="D67" s="213"/>
      <c r="E67" s="213"/>
      <c r="F67" s="213"/>
      <c r="G67" s="214" t="s">
        <v>1175</v>
      </c>
      <c r="H67" s="215"/>
      <c r="I67" s="6"/>
      <c r="J67" s="6"/>
      <c r="K67" s="6"/>
      <c r="L67" s="6"/>
      <c r="M67" s="6"/>
      <c r="N67" s="6"/>
      <c r="O67" s="6"/>
      <c r="P67" s="6"/>
      <c r="Q67" s="6"/>
      <c r="R67" s="6"/>
      <c r="S67" s="6"/>
      <c r="T67" s="6"/>
      <c r="U67" s="6"/>
      <c r="V67" s="6"/>
      <c r="W67" s="6"/>
      <c r="X67" s="6"/>
      <c r="Y67" s="6"/>
      <c r="Z67" s="6"/>
    </row>
    <row r="68" ht="48.0" customHeight="1">
      <c r="A68" s="216" t="str">
        <f>'HECVAT - Full'!A291</f>
        <v>HIPA-23</v>
      </c>
      <c r="B68" s="217" t="str">
        <f>'HECVAT - Full'!B291</f>
        <v>How long does the application keep access/change logs?</v>
      </c>
      <c r="C68" s="218"/>
      <c r="D68" s="219" t="str">
        <f>'HECVAT - Full'!C291</f>
        <v/>
      </c>
      <c r="E68" s="220"/>
      <c r="F68" s="218"/>
      <c r="G68" s="221"/>
      <c r="H68" s="197" t="str">
        <f>IF(G68="",IF(B67=1,"Please rate the vendor's answer",""),"")</f>
        <v/>
      </c>
      <c r="I68" s="6"/>
      <c r="J68" s="6"/>
      <c r="K68" s="6"/>
      <c r="L68" s="6"/>
      <c r="M68" s="6"/>
      <c r="N68" s="6"/>
      <c r="O68" s="6"/>
      <c r="P68" s="6"/>
      <c r="Q68" s="6"/>
      <c r="R68" s="6"/>
      <c r="S68" s="6"/>
      <c r="T68" s="6"/>
      <c r="U68" s="6"/>
      <c r="V68" s="6"/>
      <c r="W68" s="6"/>
      <c r="X68" s="6"/>
      <c r="Y68" s="6"/>
      <c r="Z68" s="6"/>
    </row>
    <row r="69" ht="48.0" customHeight="1">
      <c r="A69" s="211" t="s">
        <v>1177</v>
      </c>
      <c r="B69" s="214" t="str">
        <f>'HECVAT - Full'!C25</f>
        <v>No</v>
      </c>
      <c r="C69" s="222"/>
      <c r="D69" s="213"/>
      <c r="E69" s="213"/>
      <c r="F69" s="213"/>
      <c r="G69" s="214" t="s">
        <v>1175</v>
      </c>
      <c r="H69" s="215"/>
      <c r="I69" s="6"/>
      <c r="J69" s="6"/>
      <c r="K69" s="6"/>
      <c r="L69" s="6"/>
      <c r="M69" s="6"/>
      <c r="N69" s="6"/>
      <c r="O69" s="6"/>
      <c r="P69" s="6"/>
      <c r="Q69" s="6"/>
      <c r="R69" s="6"/>
      <c r="S69" s="6"/>
      <c r="T69" s="6"/>
      <c r="U69" s="6"/>
      <c r="V69" s="6"/>
      <c r="W69" s="6"/>
      <c r="X69" s="6"/>
      <c r="Y69" s="6"/>
      <c r="Z69" s="6"/>
    </row>
    <row r="70" ht="48.0" customHeight="1">
      <c r="A70" s="223" t="str">
        <f>'HECVAT - Full'!A206</f>
        <v>MAPP-01</v>
      </c>
      <c r="B70" s="224" t="str">
        <f>'HECVAT - Full'!B206</f>
        <v>On which mobile operating systems is your software or service supported?</v>
      </c>
      <c r="C70" s="225"/>
      <c r="D70" s="226" t="str">
        <f>'HECVAT - Full'!C206</f>
        <v/>
      </c>
      <c r="E70" s="227"/>
      <c r="F70" s="225"/>
      <c r="G70" s="228"/>
      <c r="H70" s="197" t="str">
        <f t="shared" ref="H70:H71" si="2">IF(G70="",IF(B$69=1,"Please rate the vendor's answer",""),"")</f>
        <v/>
      </c>
      <c r="I70" s="6"/>
      <c r="J70" s="6"/>
      <c r="K70" s="6"/>
      <c r="L70" s="6"/>
      <c r="M70" s="6"/>
      <c r="N70" s="6"/>
      <c r="O70" s="6"/>
      <c r="P70" s="6"/>
      <c r="Q70" s="6"/>
      <c r="R70" s="6"/>
      <c r="S70" s="6"/>
      <c r="T70" s="6"/>
      <c r="U70" s="6"/>
      <c r="V70" s="6"/>
      <c r="W70" s="6"/>
      <c r="X70" s="6"/>
      <c r="Y70" s="6"/>
      <c r="Z70" s="6"/>
    </row>
    <row r="71" ht="48.0" customHeight="1">
      <c r="A71" s="198" t="str">
        <f>'HECVAT - Full'!A207</f>
        <v>MAPP-02</v>
      </c>
      <c r="B71" s="199" t="str">
        <f>'HECVAT - Full'!B207</f>
        <v>Describe or provide a reference to the application's architecture and functionality.</v>
      </c>
      <c r="C71" s="200"/>
      <c r="D71" s="203" t="str">
        <f>'HECVAT - Full'!C207</f>
        <v/>
      </c>
      <c r="E71" s="202"/>
      <c r="F71" s="200"/>
      <c r="G71" s="181"/>
      <c r="H71" s="197" t="str">
        <f t="shared" si="2"/>
        <v/>
      </c>
      <c r="I71" s="6"/>
      <c r="J71" s="6"/>
      <c r="K71" s="6"/>
      <c r="L71" s="6"/>
      <c r="M71" s="6"/>
      <c r="N71" s="6"/>
      <c r="O71" s="6"/>
      <c r="P71" s="6"/>
      <c r="Q71" s="6"/>
      <c r="R71" s="6"/>
      <c r="S71" s="6"/>
      <c r="T71" s="6"/>
      <c r="U71" s="6"/>
      <c r="V71" s="6"/>
      <c r="W71" s="6"/>
      <c r="X71" s="6"/>
      <c r="Y71" s="6"/>
      <c r="Z71" s="6"/>
    </row>
    <row r="72" ht="48.0" customHeight="1">
      <c r="A72" s="198" t="str">
        <f>'HECVAT - Full'!A213</f>
        <v>MAPP-08</v>
      </c>
      <c r="B72" s="199" t="str">
        <f>'HECVAT - Full'!B213</f>
        <v>Will any of these systems be implemented on systems hosting the Institution's data?</v>
      </c>
      <c r="C72" s="200"/>
      <c r="D72" s="203" t="str">
        <f>'HECVAT - Full'!C213</f>
        <v/>
      </c>
      <c r="E72" s="202"/>
      <c r="F72" s="200"/>
      <c r="G72" s="181"/>
      <c r="H72" s="229"/>
      <c r="I72" s="6"/>
      <c r="J72" s="6"/>
      <c r="K72" s="6"/>
      <c r="L72" s="6"/>
      <c r="M72" s="6"/>
      <c r="N72" s="6"/>
      <c r="O72" s="6"/>
      <c r="P72" s="6"/>
      <c r="Q72" s="6"/>
      <c r="R72" s="6"/>
      <c r="S72" s="6"/>
      <c r="T72" s="6"/>
      <c r="U72" s="6"/>
      <c r="V72" s="6"/>
      <c r="W72" s="6"/>
      <c r="X72" s="6"/>
      <c r="Y72" s="6"/>
      <c r="Z72" s="6"/>
    </row>
    <row r="73" ht="48.0" customHeight="1">
      <c r="A73" s="205" t="str">
        <f>'HECVAT - Full'!A216</f>
        <v>MAPP-11</v>
      </c>
      <c r="B73" s="230" t="str">
        <f>'HECVAT - Full'!B216</f>
        <v>State the party that performed the vulnerability test and the date it was conducted?</v>
      </c>
      <c r="C73" s="207"/>
      <c r="D73" s="208" t="str">
        <f>'HECVAT - Full'!C216</f>
        <v/>
      </c>
      <c r="E73" s="209"/>
      <c r="F73" s="207"/>
      <c r="G73" s="210"/>
      <c r="H73" s="197" t="str">
        <f>IF(G73="",IF(B$69=1,"Please rate the vendor's answer",""),"")</f>
        <v/>
      </c>
      <c r="I73" s="6"/>
      <c r="J73" s="6"/>
      <c r="K73" s="6"/>
      <c r="L73" s="6"/>
      <c r="M73" s="6"/>
      <c r="N73" s="6"/>
      <c r="O73" s="6"/>
      <c r="P73" s="6"/>
      <c r="Q73" s="6"/>
      <c r="R73" s="6"/>
      <c r="S73" s="6"/>
      <c r="T73" s="6"/>
      <c r="U73" s="6"/>
      <c r="V73" s="6"/>
      <c r="W73" s="6"/>
      <c r="X73" s="6"/>
      <c r="Y73" s="6"/>
      <c r="Z73" s="6"/>
    </row>
    <row r="74" ht="48.0" customHeight="1">
      <c r="A74" s="211" t="s">
        <v>1178</v>
      </c>
      <c r="B74" s="214" t="str">
        <f>'HECVAT - Full'!C26</f>
        <v>Yes</v>
      </c>
      <c r="C74" s="222"/>
      <c r="D74" s="213"/>
      <c r="E74" s="213"/>
      <c r="F74" s="213"/>
      <c r="G74" s="214" t="s">
        <v>1175</v>
      </c>
      <c r="H74" s="215"/>
      <c r="I74" s="6"/>
      <c r="J74" s="6"/>
      <c r="K74" s="6"/>
      <c r="L74" s="6"/>
      <c r="M74" s="6"/>
      <c r="N74" s="6"/>
      <c r="O74" s="6"/>
      <c r="P74" s="6"/>
      <c r="Q74" s="6"/>
      <c r="R74" s="6"/>
      <c r="S74" s="6"/>
      <c r="T74" s="6"/>
      <c r="U74" s="6"/>
      <c r="V74" s="6"/>
      <c r="W74" s="6"/>
      <c r="X74" s="6"/>
      <c r="Y74" s="6"/>
      <c r="Z74" s="6"/>
    </row>
    <row r="75" ht="48.0" customHeight="1">
      <c r="A75" s="223" t="str">
        <f>'HECVAT - Full'!A47</f>
        <v>THRD-01</v>
      </c>
      <c r="B75" s="224" t="str">
        <f>'HECVAT - Full'!B47</f>
        <v>Describe how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v>
      </c>
      <c r="C75" s="225"/>
      <c r="D75" s="231" t="str">
        <f>'HECVAT - Full'!C47</f>
        <v>All of our third party providers must themselves be SOC-2 or ISO-27001 certified. We don’t enter into contracts with third parties that do not have documented security compliance that meets our standards.</v>
      </c>
      <c r="E75" s="227"/>
      <c r="F75" s="225"/>
      <c r="G75" s="228"/>
      <c r="H75" s="197" t="str">
        <f t="shared" ref="H75:H78" si="3">IF(G75="",IF(B$74=1,"Please rate the vendor's answer",""),"")</f>
        <v/>
      </c>
      <c r="I75" s="6"/>
      <c r="J75" s="6"/>
      <c r="K75" s="6"/>
      <c r="L75" s="6"/>
      <c r="M75" s="6"/>
      <c r="N75" s="6"/>
      <c r="O75" s="6"/>
      <c r="P75" s="6"/>
      <c r="Q75" s="6"/>
      <c r="R75" s="6"/>
      <c r="S75" s="6"/>
      <c r="T75" s="6"/>
      <c r="U75" s="6"/>
      <c r="V75" s="6"/>
      <c r="W75" s="6"/>
      <c r="X75" s="6"/>
      <c r="Y75" s="6"/>
      <c r="Z75" s="6"/>
    </row>
    <row r="76" ht="48.0" customHeight="1">
      <c r="A76" s="198" t="str">
        <f>'HECVAT - Full'!A48</f>
        <v>THRD-02</v>
      </c>
      <c r="B76" s="199" t="str">
        <f>'HECVAT - Full'!B48</f>
        <v>Provide a brief description for why each of these third parties will have access to institution data.</v>
      </c>
      <c r="C76" s="200"/>
      <c r="D76" s="201" t="str">
        <f>'HECVAT - Full'!C48</f>
        <v>We only share learning data with Google Cloud as they are hosting our SaaS offering on their infrastructure. We share it only indirectly in that we transfer encrypted live data through their infrastructure. No learning data is stored in backups, but metadata and customer account data is backed up in encrypted storage buckets.</v>
      </c>
      <c r="E76" s="202"/>
      <c r="F76" s="200"/>
      <c r="G76" s="181"/>
      <c r="H76" s="197" t="str">
        <f t="shared" si="3"/>
        <v/>
      </c>
      <c r="I76" s="6"/>
      <c r="J76" s="6"/>
      <c r="K76" s="6"/>
      <c r="L76" s="6"/>
      <c r="M76" s="6"/>
      <c r="N76" s="6"/>
      <c r="O76" s="6"/>
      <c r="P76" s="6"/>
      <c r="Q76" s="6"/>
      <c r="R76" s="6"/>
      <c r="S76" s="6"/>
      <c r="T76" s="6"/>
      <c r="U76" s="6"/>
      <c r="V76" s="6"/>
      <c r="W76" s="6"/>
      <c r="X76" s="6"/>
      <c r="Y76" s="6"/>
      <c r="Z76" s="6"/>
    </row>
    <row r="77" ht="48.0" customHeight="1">
      <c r="A77" s="198" t="str">
        <f>'HECVAT - Full'!A49</f>
        <v>THRD-03</v>
      </c>
      <c r="B77" s="199" t="str">
        <f>'HECVAT - Full'!B49</f>
        <v>What legal agreements (i.e. contracts) do you have in place with these third parties that address liability in the event of a data breach?</v>
      </c>
      <c r="C77" s="200"/>
      <c r="D77" s="201" t="str">
        <f>'HECVAT - Full'!C49</f>
        <v>Google Cloud has clearly documented policies that are in place to manage data breaches: https://cloud.google.com/docs/security/incident-response and https://cloud.google.com/terms/data-processing-addendum</v>
      </c>
      <c r="E77" s="202"/>
      <c r="F77" s="200"/>
      <c r="G77" s="181"/>
      <c r="H77" s="197" t="str">
        <f t="shared" si="3"/>
        <v/>
      </c>
      <c r="I77" s="6"/>
      <c r="J77" s="6"/>
      <c r="K77" s="6"/>
      <c r="L77" s="6"/>
      <c r="M77" s="6"/>
      <c r="N77" s="6"/>
      <c r="O77" s="6"/>
      <c r="P77" s="6"/>
      <c r="Q77" s="6"/>
      <c r="R77" s="6"/>
      <c r="S77" s="6"/>
      <c r="T77" s="6"/>
      <c r="U77" s="6"/>
      <c r="V77" s="6"/>
      <c r="W77" s="6"/>
      <c r="X77" s="6"/>
      <c r="Y77" s="6"/>
      <c r="Z77" s="6"/>
    </row>
    <row r="78" ht="48.0" customHeight="1">
      <c r="A78" s="205" t="str">
        <f>'HECVAT - Full'!A50</f>
        <v>THRD-04</v>
      </c>
      <c r="B78" s="230" t="str">
        <f>'HECVAT - Full'!B50</f>
        <v>Describe or provide references to your third party management strategy or provide additional information that may help analysts better understand your environment and how it relates to third-party solutions.</v>
      </c>
      <c r="C78" s="207"/>
      <c r="D78" s="206" t="str">
        <f>'HECVAT - Full'!C50</f>
        <v>We are a small company, so it is very easy for us to limit our list of third party data processors and manage our existing list. Today, there are only a handful third parties we work with: https://ltiaas.com/compliance. Only Google Cloud manages learning data. Because the company has two staff members it is easy for us to manage our third party interactions. We intend for our list of third parties to not change.</v>
      </c>
      <c r="E78" s="209"/>
      <c r="F78" s="207"/>
      <c r="G78" s="210"/>
      <c r="H78" s="197" t="str">
        <f t="shared" si="3"/>
        <v/>
      </c>
      <c r="I78" s="6"/>
      <c r="J78" s="6"/>
      <c r="K78" s="6"/>
      <c r="L78" s="6"/>
      <c r="M78" s="6"/>
      <c r="N78" s="6"/>
      <c r="O78" s="6"/>
      <c r="P78" s="6"/>
      <c r="Q78" s="6"/>
      <c r="R78" s="6"/>
      <c r="S78" s="6"/>
      <c r="T78" s="6"/>
      <c r="U78" s="6"/>
      <c r="V78" s="6"/>
      <c r="W78" s="6"/>
      <c r="X78" s="6"/>
      <c r="Y78" s="6"/>
      <c r="Z78" s="6"/>
    </row>
    <row r="79" ht="48.0" customHeight="1">
      <c r="A79" s="211" t="s">
        <v>1179</v>
      </c>
      <c r="B79" s="214" t="str">
        <f>'HECVAT - Full'!C27</f>
        <v>Yes</v>
      </c>
      <c r="C79" s="222"/>
      <c r="D79" s="213"/>
      <c r="E79" s="213"/>
      <c r="F79" s="213"/>
      <c r="G79" s="214" t="s">
        <v>1175</v>
      </c>
      <c r="H79" s="215"/>
      <c r="I79" s="6"/>
      <c r="J79" s="6"/>
      <c r="K79" s="6"/>
      <c r="L79" s="6"/>
      <c r="M79" s="6"/>
      <c r="N79" s="6"/>
      <c r="O79" s="6"/>
      <c r="P79" s="6"/>
      <c r="Q79" s="6"/>
      <c r="R79" s="6"/>
      <c r="S79" s="6"/>
      <c r="T79" s="6"/>
      <c r="U79" s="6"/>
      <c r="V79" s="6"/>
      <c r="W79" s="6"/>
      <c r="X79" s="6"/>
      <c r="Y79" s="6"/>
      <c r="Z79" s="6"/>
    </row>
    <row r="80" ht="48.0" customHeight="1">
      <c r="A80" s="216" t="str">
        <f>'HECVAT - Full'!A98</f>
        <v>BCPL-01</v>
      </c>
      <c r="B80" s="232" t="str">
        <f>'HECVAT - Full'!B98</f>
        <v>Describe or provide a reference to your Business Continuity Plan (BCP).</v>
      </c>
      <c r="C80" s="218"/>
      <c r="D80" s="217" t="str">
        <f>'HECVAT - Full'!C98</f>
        <v>Available Under NDA
Last Reviewed: Feb. 15, 2021
Table Of Contents:
  1. Program Administration
  1.1 Purpose
  1.2 Prioritized Business Functions and Recovery Plans
  2. Notification &amp; Activation
  3. External Vendors
  4. Internal Responsibilities
  5. Relocation &amp; Recovery Operations
  6. Review and Testing
  7. Plan Deactivation
  8. Assumptions
  9. Additional Comments</v>
      </c>
      <c r="E80" s="220"/>
      <c r="F80" s="218"/>
      <c r="G80" s="221"/>
      <c r="H80" s="197" t="str">
        <f>IF(G80="",IF(B$79=1,"Please rate the vendor's answer",""),"")</f>
        <v/>
      </c>
      <c r="I80" s="6"/>
      <c r="J80" s="6"/>
      <c r="K80" s="6"/>
      <c r="L80" s="6"/>
      <c r="M80" s="6"/>
      <c r="N80" s="6"/>
      <c r="O80" s="6"/>
      <c r="P80" s="6"/>
      <c r="Q80" s="6"/>
      <c r="R80" s="6"/>
      <c r="S80" s="6"/>
      <c r="T80" s="6"/>
      <c r="U80" s="6"/>
      <c r="V80" s="6"/>
      <c r="W80" s="6"/>
      <c r="X80" s="6"/>
      <c r="Y80" s="6"/>
      <c r="Z80" s="6"/>
    </row>
    <row r="81" ht="48.0" customHeight="1">
      <c r="A81" s="211" t="s">
        <v>1180</v>
      </c>
      <c r="B81" s="214" t="str">
        <f>'HECVAT - Full'!C30</f>
        <v>No</v>
      </c>
      <c r="C81" s="222"/>
      <c r="D81" s="213"/>
      <c r="E81" s="213"/>
      <c r="F81" s="213"/>
      <c r="G81" s="214" t="s">
        <v>1175</v>
      </c>
      <c r="H81" s="215"/>
      <c r="I81" s="6"/>
      <c r="J81" s="6"/>
      <c r="K81" s="6"/>
      <c r="L81" s="6"/>
      <c r="M81" s="6"/>
      <c r="N81" s="6"/>
      <c r="O81" s="6"/>
      <c r="P81" s="6"/>
      <c r="Q81" s="6"/>
      <c r="R81" s="6"/>
      <c r="S81" s="6"/>
      <c r="T81" s="6"/>
      <c r="U81" s="6"/>
      <c r="V81" s="6"/>
      <c r="W81" s="6"/>
      <c r="X81" s="6"/>
      <c r="Y81" s="6"/>
      <c r="Z81" s="6"/>
    </row>
    <row r="82" ht="48.0" customHeight="1">
      <c r="A82" s="223" t="str">
        <f>'HECVAT - Full'!A179</f>
        <v>DRPL-01</v>
      </c>
      <c r="B82" s="224" t="str">
        <f>'HECVAT - Full'!B179</f>
        <v>Describe or provide a reference to your Disaster Recovery Plan (DRP).</v>
      </c>
      <c r="C82" s="225"/>
      <c r="D82" s="226" t="str">
        <f>'HECVAT - Full'!C179</f>
        <v>We have a comprehensive disaster recovery plan that is available under NDA
Last Reviewed: Feb. 15, 2021
Table Of Contents:
1. INTRODUCTION
1.1 Overview
1.2 Purpose
1.3 Priorities
1.4 Objective
2. Roles and Responsibilities
3. Disaster Recovery Plan
3.1 Financial Resources
3.2 Data and Document Back Up
3.3 Client and Supplier Communication
3.4 Internal Communication
4. Action Plan
4.1 Key Personnel
4.2 Vital Data and Documents
4.3 Salvage of Original Infrastructure
4.4 Communication Strategy
4.5 Implement Temporary Transfer
4.5 Monitoring the Recovery Process
4.7 Recovery Time
5. Implementation
5.1 Day 1
5.2 Subsequent Days
"</v>
      </c>
      <c r="E82" s="227"/>
      <c r="F82" s="225"/>
      <c r="G82" s="228"/>
      <c r="H82" s="197" t="str">
        <f t="shared" ref="H82:H83" si="4">IF(G82="",IF(B$81=1,"Please rate the vendor's answer",""),"")</f>
        <v/>
      </c>
      <c r="I82" s="6"/>
      <c r="J82" s="6"/>
      <c r="K82" s="6"/>
      <c r="L82" s="6"/>
      <c r="M82" s="6"/>
      <c r="N82" s="6"/>
      <c r="O82" s="6"/>
      <c r="P82" s="6"/>
      <c r="Q82" s="6"/>
      <c r="R82" s="6"/>
      <c r="S82" s="6"/>
      <c r="T82" s="6"/>
      <c r="U82" s="6"/>
      <c r="V82" s="6"/>
      <c r="W82" s="6"/>
      <c r="X82" s="6"/>
      <c r="Y82" s="6"/>
      <c r="Z82" s="6"/>
    </row>
    <row r="83" ht="48.0" customHeight="1">
      <c r="A83" s="205" t="str">
        <f>'HECVAT - Full'!A187</f>
        <v>DRPL-09</v>
      </c>
      <c r="B83" s="230" t="str">
        <f>'HECVAT - Full'!B187</f>
        <v>Describe or provide a reference to how your disaster recovery plan is tested? (i.e. scope of DR tests, end-to-end testing, etc.)</v>
      </c>
      <c r="C83" s="207"/>
      <c r="D83" s="233" t="str">
        <f>'HECVAT - Full'!C187</f>
        <v>1. We have test accounts that are connected to multiple LMSes. The test accounts are validated to work correctly.
2. Test account configuration is restored from backup into a new site
3. Our API gateway (per account) is configured to point to the new site. No DNS change is necessicary.
4. The test account(s) are testsed with the LMSes again. No LMS configureation change should be necessicary.</v>
      </c>
      <c r="E83" s="209"/>
      <c r="F83" s="207"/>
      <c r="G83" s="210"/>
      <c r="H83" s="197" t="str">
        <f t="shared" si="4"/>
        <v/>
      </c>
      <c r="I83" s="6"/>
      <c r="J83" s="6"/>
      <c r="K83" s="6"/>
      <c r="L83" s="6"/>
      <c r="M83" s="6"/>
      <c r="N83" s="6"/>
      <c r="O83" s="6"/>
      <c r="P83" s="6"/>
      <c r="Q83" s="6"/>
      <c r="R83" s="6"/>
      <c r="S83" s="6"/>
      <c r="T83" s="6"/>
      <c r="U83" s="6"/>
      <c r="V83" s="6"/>
      <c r="W83" s="6"/>
      <c r="X83" s="6"/>
      <c r="Y83" s="6"/>
      <c r="Z83" s="6"/>
    </row>
    <row r="84" ht="48.0" customHeight="1">
      <c r="A84" s="211" t="s">
        <v>1181</v>
      </c>
      <c r="B84" s="214" t="str">
        <f>'HECVAT - Full'!C29</f>
        <v>No</v>
      </c>
      <c r="C84" s="222"/>
      <c r="D84" s="213"/>
      <c r="E84" s="213"/>
      <c r="F84" s="213"/>
      <c r="G84" s="214" t="s">
        <v>1175</v>
      </c>
      <c r="H84" s="215"/>
      <c r="I84" s="6"/>
      <c r="J84" s="6"/>
      <c r="K84" s="6"/>
      <c r="L84" s="6"/>
      <c r="M84" s="6"/>
      <c r="N84" s="6"/>
      <c r="O84" s="6"/>
      <c r="P84" s="6"/>
      <c r="Q84" s="6"/>
      <c r="R84" s="6"/>
      <c r="S84" s="6"/>
      <c r="T84" s="6"/>
      <c r="U84" s="6"/>
      <c r="V84" s="6"/>
      <c r="W84" s="6"/>
      <c r="X84" s="6"/>
      <c r="Y84" s="6"/>
      <c r="Z84" s="6"/>
    </row>
    <row r="85" ht="48.0" customHeight="1">
      <c r="A85" s="223" t="str">
        <f>'HECVAT - Full'!A306</f>
        <v>PCID-06</v>
      </c>
      <c r="B85" s="224" t="str">
        <f>'HECVAT - Full'!B306</f>
        <v>Are you classified as a merchant?  If so, what level (1, 2, 3, 4)?</v>
      </c>
      <c r="C85" s="225"/>
      <c r="D85" s="226" t="str">
        <f>'HECVAT - Full'!C306</f>
        <v/>
      </c>
      <c r="E85" s="227"/>
      <c r="F85" s="225"/>
      <c r="G85" s="228"/>
      <c r="H85" s="197" t="str">
        <f t="shared" ref="H85:H88" si="5">IF(G85="",IF(B$84=1,"Please rate the vendor's answer",""),"")</f>
        <v/>
      </c>
      <c r="I85" s="6"/>
      <c r="J85" s="6"/>
      <c r="K85" s="6"/>
      <c r="L85" s="6"/>
      <c r="M85" s="6"/>
      <c r="N85" s="6"/>
      <c r="O85" s="6"/>
      <c r="P85" s="6"/>
      <c r="Q85" s="6"/>
      <c r="R85" s="6"/>
      <c r="S85" s="6"/>
      <c r="T85" s="6"/>
      <c r="U85" s="6"/>
      <c r="V85" s="6"/>
      <c r="W85" s="6"/>
      <c r="X85" s="6"/>
      <c r="Y85" s="6"/>
      <c r="Z85" s="6"/>
    </row>
    <row r="86" ht="48.0" customHeight="1">
      <c r="A86" s="198" t="str">
        <f>'HECVAT - Full'!A307</f>
        <v>PCID-07</v>
      </c>
      <c r="B86" s="199" t="str">
        <f>'HECVAT - Full'!B307</f>
        <v>Describe the architecture employed by the system to verify and authorize credit card transactions.</v>
      </c>
      <c r="C86" s="200"/>
      <c r="D86" s="203" t="str">
        <f>'HECVAT - Full'!C307</f>
        <v/>
      </c>
      <c r="E86" s="202"/>
      <c r="F86" s="200"/>
      <c r="G86" s="181"/>
      <c r="H86" s="197" t="str">
        <f t="shared" si="5"/>
        <v/>
      </c>
      <c r="I86" s="6"/>
      <c r="J86" s="6"/>
      <c r="K86" s="6"/>
      <c r="L86" s="6"/>
      <c r="M86" s="6"/>
      <c r="N86" s="6"/>
      <c r="O86" s="6"/>
      <c r="P86" s="6"/>
      <c r="Q86" s="6"/>
      <c r="R86" s="6"/>
      <c r="S86" s="6"/>
      <c r="T86" s="6"/>
      <c r="U86" s="6"/>
      <c r="V86" s="6"/>
      <c r="W86" s="6"/>
      <c r="X86" s="6"/>
      <c r="Y86" s="6"/>
      <c r="Z86" s="6"/>
    </row>
    <row r="87" ht="48.0" customHeight="1">
      <c r="A87" s="198" t="str">
        <f>'HECVAT - Full'!A308</f>
        <v>PCID-08</v>
      </c>
      <c r="B87" s="199" t="str">
        <f>'HECVAT - Full'!B308</f>
        <v>What payment processors/gateways does the system support? </v>
      </c>
      <c r="C87" s="200"/>
      <c r="D87" s="203" t="str">
        <f>'HECVAT - Full'!C308</f>
        <v/>
      </c>
      <c r="E87" s="202"/>
      <c r="F87" s="200"/>
      <c r="G87" s="181"/>
      <c r="H87" s="197" t="str">
        <f t="shared" si="5"/>
        <v/>
      </c>
      <c r="I87" s="6"/>
      <c r="J87" s="6"/>
      <c r="K87" s="6"/>
      <c r="L87" s="6"/>
      <c r="M87" s="6"/>
      <c r="N87" s="6"/>
      <c r="O87" s="6"/>
      <c r="P87" s="6"/>
      <c r="Q87" s="6"/>
      <c r="R87" s="6"/>
      <c r="S87" s="6"/>
      <c r="T87" s="6"/>
      <c r="U87" s="6"/>
      <c r="V87" s="6"/>
      <c r="W87" s="6"/>
      <c r="X87" s="6"/>
      <c r="Y87" s="6"/>
      <c r="Z87" s="6"/>
    </row>
    <row r="88" ht="48.0" customHeight="1">
      <c r="A88" s="198" t="str">
        <f>'HECVAT - Full'!A312</f>
        <v>PCID-12</v>
      </c>
      <c r="B88" s="199" t="str">
        <f>'HECVAT - Full'!B312</f>
        <v>Include documentation describing the systems' abilities to comply with the PCI DSS and any features or capabilities of the system that must be added or changed in order to operate in compliance with the standards. </v>
      </c>
      <c r="C88" s="200"/>
      <c r="D88" s="203" t="str">
        <f>'HECVAT - Full'!C312</f>
        <v/>
      </c>
      <c r="E88" s="202"/>
      <c r="F88" s="200"/>
      <c r="G88" s="181"/>
      <c r="H88" s="197" t="str">
        <f t="shared" si="5"/>
        <v/>
      </c>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0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8:C68"/>
    <mergeCell ref="B70:C70"/>
    <mergeCell ref="B80:C80"/>
    <mergeCell ref="B82:C82"/>
    <mergeCell ref="B83:C83"/>
    <mergeCell ref="B85:C85"/>
    <mergeCell ref="B86:C86"/>
    <mergeCell ref="B87:C87"/>
    <mergeCell ref="B88:C88"/>
    <mergeCell ref="B71:C71"/>
    <mergeCell ref="B72:C72"/>
    <mergeCell ref="B73:C73"/>
    <mergeCell ref="B75:C75"/>
    <mergeCell ref="B76:C76"/>
    <mergeCell ref="B77:C77"/>
    <mergeCell ref="B78:C78"/>
    <mergeCell ref="D56:F56"/>
    <mergeCell ref="D57:F57"/>
    <mergeCell ref="D58:F58"/>
    <mergeCell ref="D59:F59"/>
    <mergeCell ref="D60:F60"/>
    <mergeCell ref="D61:F61"/>
    <mergeCell ref="D62:F62"/>
    <mergeCell ref="D63:F63"/>
    <mergeCell ref="D64:F64"/>
    <mergeCell ref="D65:F65"/>
    <mergeCell ref="D66:F66"/>
    <mergeCell ref="D68:F68"/>
    <mergeCell ref="D70:F70"/>
    <mergeCell ref="D71:F71"/>
    <mergeCell ref="D82:F82"/>
    <mergeCell ref="D83:F83"/>
    <mergeCell ref="D85:F85"/>
    <mergeCell ref="D86:F86"/>
    <mergeCell ref="D87:F87"/>
    <mergeCell ref="D88:F88"/>
    <mergeCell ref="D72:F72"/>
    <mergeCell ref="D73:F73"/>
    <mergeCell ref="D75:F75"/>
    <mergeCell ref="D76:F76"/>
    <mergeCell ref="D77:F77"/>
    <mergeCell ref="D78:F78"/>
    <mergeCell ref="D80:F80"/>
    <mergeCell ref="F7:H7"/>
    <mergeCell ref="F8:H8"/>
    <mergeCell ref="D10:H10"/>
    <mergeCell ref="A1:G1"/>
    <mergeCell ref="A2:H2"/>
    <mergeCell ref="A3:H3"/>
    <mergeCell ref="A4:H4"/>
    <mergeCell ref="B5:C5"/>
    <mergeCell ref="F5:H5"/>
    <mergeCell ref="F6:H6"/>
    <mergeCell ref="B6:C6"/>
    <mergeCell ref="B7:C7"/>
    <mergeCell ref="B8:C8"/>
    <mergeCell ref="A11:C11"/>
    <mergeCell ref="A36:G36"/>
    <mergeCell ref="B37:C37"/>
    <mergeCell ref="D37:F37"/>
    <mergeCell ref="B38:C38"/>
    <mergeCell ref="D38:F38"/>
    <mergeCell ref="B39:C39"/>
    <mergeCell ref="D39:F39"/>
    <mergeCell ref="B40:C40"/>
    <mergeCell ref="D40:F40"/>
    <mergeCell ref="D41:F41"/>
    <mergeCell ref="B41:C41"/>
    <mergeCell ref="B42:C42"/>
    <mergeCell ref="B43:C43"/>
    <mergeCell ref="B44:C44"/>
    <mergeCell ref="B45:C45"/>
    <mergeCell ref="B46:C46"/>
    <mergeCell ref="B47:C47"/>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s>
  <dataValidations>
    <dataValidation type="list" allowBlank="1" showErrorMessage="1" sqref="B10">
      <formula1>"CIS Critical Security Controls v6.1,HIPAA,ISO 27002:2013,NIST Cybersecurity Framework,NIST SP 800-171r1,NIST SP 800-53r4,PCI DSS"</formula1>
    </dataValidation>
    <dataValidation type="list" allowBlank="1" showErrorMessage="1" sqref="G38:G66 G68 G70:G73 G75:G78 G80 G82:G83 G85:G88">
      <formula1>"Yes,No"</formula1>
    </dataValidation>
  </dataValidations>
  <printOptions/>
  <pageMargins bottom="0.75" footer="0.0" header="0.0" left="0.7" right="0.7" top="0.75"/>
  <pageSetup orientation="portrait"/>
  <headerFooter>
    <oddFooter>&amp;C000000&amp;P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1.11"/>
    <col customWidth="1" min="2" max="2" width="56.78"/>
    <col customWidth="1" min="3" max="4" width="40.78"/>
    <col customWidth="1" min="5" max="26" width="6.67"/>
  </cols>
  <sheetData>
    <row r="1" ht="36.0" customHeight="1">
      <c r="A1" s="151" t="s">
        <v>1182</v>
      </c>
      <c r="B1" s="40"/>
      <c r="C1" s="40"/>
      <c r="D1" s="14"/>
      <c r="E1" s="234"/>
      <c r="F1" s="235"/>
      <c r="G1" s="235"/>
      <c r="H1" s="235"/>
      <c r="I1" s="235"/>
      <c r="J1" s="235"/>
      <c r="K1" s="235"/>
      <c r="L1" s="235"/>
      <c r="M1" s="235"/>
      <c r="N1" s="235"/>
      <c r="O1" s="235"/>
      <c r="P1" s="235"/>
      <c r="Q1" s="235"/>
      <c r="R1" s="235"/>
      <c r="S1" s="235"/>
      <c r="T1" s="235"/>
      <c r="U1" s="235"/>
      <c r="V1" s="6"/>
      <c r="W1" s="6"/>
      <c r="X1" s="6"/>
      <c r="Y1" s="6"/>
      <c r="Z1" s="6"/>
    </row>
    <row r="2" ht="25.5" customHeight="1">
      <c r="A2" s="42" t="s">
        <v>37</v>
      </c>
      <c r="B2" s="40"/>
      <c r="C2" s="40"/>
      <c r="D2" s="14"/>
      <c r="E2" s="234"/>
      <c r="F2" s="235"/>
      <c r="G2" s="235"/>
      <c r="H2" s="235"/>
      <c r="I2" s="235"/>
      <c r="J2" s="235"/>
      <c r="K2" s="235"/>
      <c r="L2" s="235"/>
      <c r="M2" s="235"/>
      <c r="N2" s="235"/>
      <c r="O2" s="235"/>
      <c r="P2" s="235"/>
      <c r="Q2" s="235"/>
      <c r="R2" s="235"/>
      <c r="S2" s="235"/>
      <c r="T2" s="235"/>
      <c r="U2" s="235"/>
      <c r="V2" s="6"/>
      <c r="W2" s="6"/>
      <c r="X2" s="6"/>
      <c r="Y2" s="6"/>
      <c r="Z2" s="6"/>
    </row>
    <row r="3" ht="7.5" customHeight="1">
      <c r="A3" s="236"/>
      <c r="B3" s="237"/>
      <c r="C3" s="238"/>
      <c r="D3" s="238"/>
      <c r="E3" s="234"/>
      <c r="F3" s="235"/>
      <c r="G3" s="235"/>
      <c r="H3" s="235"/>
      <c r="I3" s="235"/>
      <c r="J3" s="235"/>
      <c r="K3" s="235"/>
      <c r="L3" s="235"/>
      <c r="M3" s="235"/>
      <c r="N3" s="235"/>
      <c r="O3" s="235"/>
      <c r="P3" s="235"/>
      <c r="Q3" s="235"/>
      <c r="R3" s="235"/>
      <c r="S3" s="235"/>
      <c r="T3" s="235"/>
      <c r="U3" s="235"/>
      <c r="V3" s="6"/>
      <c r="W3" s="6"/>
      <c r="X3" s="6"/>
      <c r="Y3" s="6"/>
      <c r="Z3" s="6"/>
    </row>
    <row r="4" ht="7.5" customHeight="1">
      <c r="A4" s="239"/>
      <c r="B4" s="239"/>
      <c r="C4" s="240"/>
      <c r="D4" s="241"/>
      <c r="E4" s="234"/>
      <c r="F4" s="235"/>
      <c r="G4" s="235"/>
      <c r="H4" s="235"/>
      <c r="I4" s="235"/>
      <c r="J4" s="235"/>
      <c r="K4" s="235"/>
      <c r="L4" s="235"/>
      <c r="M4" s="235"/>
      <c r="N4" s="235"/>
      <c r="O4" s="235"/>
      <c r="P4" s="235"/>
      <c r="Q4" s="235"/>
      <c r="R4" s="235"/>
      <c r="S4" s="235"/>
      <c r="T4" s="235"/>
      <c r="U4" s="235"/>
      <c r="V4" s="6"/>
      <c r="W4" s="6"/>
      <c r="X4" s="6"/>
      <c r="Y4" s="6"/>
      <c r="Z4" s="6"/>
    </row>
    <row r="5" ht="7.5" customHeight="1">
      <c r="A5" s="66"/>
      <c r="B5" s="66"/>
      <c r="C5" s="66"/>
      <c r="D5" s="66"/>
      <c r="E5" s="234"/>
      <c r="F5" s="235"/>
      <c r="G5" s="235"/>
      <c r="H5" s="235"/>
      <c r="I5" s="235"/>
      <c r="J5" s="235"/>
      <c r="K5" s="235"/>
      <c r="L5" s="235"/>
      <c r="M5" s="235"/>
      <c r="N5" s="235"/>
      <c r="O5" s="235"/>
      <c r="P5" s="235"/>
      <c r="Q5" s="235"/>
      <c r="R5" s="235"/>
      <c r="S5" s="235"/>
      <c r="T5" s="235"/>
      <c r="U5" s="235"/>
      <c r="V5" s="6"/>
      <c r="W5" s="6"/>
      <c r="X5" s="6"/>
      <c r="Y5" s="6"/>
      <c r="Z5" s="6"/>
    </row>
    <row r="6" ht="7.5" customHeight="1">
      <c r="A6" s="242"/>
      <c r="B6" s="242"/>
      <c r="C6" s="242"/>
      <c r="D6" s="242"/>
      <c r="E6" s="234"/>
      <c r="F6" s="235"/>
      <c r="G6" s="235"/>
      <c r="H6" s="235"/>
      <c r="I6" s="235"/>
      <c r="J6" s="235"/>
      <c r="K6" s="235"/>
      <c r="L6" s="235"/>
      <c r="M6" s="235"/>
      <c r="N6" s="235"/>
      <c r="O6" s="235"/>
      <c r="P6" s="235"/>
      <c r="Q6" s="235"/>
      <c r="R6" s="235"/>
      <c r="S6" s="235"/>
      <c r="T6" s="235"/>
      <c r="U6" s="235"/>
      <c r="V6" s="6"/>
      <c r="W6" s="6"/>
      <c r="X6" s="6"/>
      <c r="Y6" s="6"/>
      <c r="Z6" s="6"/>
    </row>
    <row r="7" ht="7.5" customHeight="1">
      <c r="A7" s="236"/>
      <c r="B7" s="98"/>
      <c r="C7" s="243"/>
      <c r="D7" s="243"/>
      <c r="E7" s="234"/>
      <c r="F7" s="235"/>
      <c r="G7" s="235"/>
      <c r="H7" s="235"/>
      <c r="I7" s="235"/>
      <c r="J7" s="235"/>
      <c r="K7" s="235"/>
      <c r="L7" s="235"/>
      <c r="M7" s="235"/>
      <c r="N7" s="235"/>
      <c r="O7" s="235"/>
      <c r="P7" s="235"/>
      <c r="Q7" s="235"/>
      <c r="R7" s="235"/>
      <c r="S7" s="235"/>
      <c r="T7" s="235"/>
      <c r="U7" s="235"/>
      <c r="V7" s="6"/>
      <c r="W7" s="6"/>
      <c r="X7" s="6"/>
      <c r="Y7" s="6"/>
      <c r="Z7" s="6"/>
    </row>
    <row r="8" ht="7.5" customHeight="1">
      <c r="A8" s="236"/>
      <c r="B8" s="98"/>
      <c r="C8" s="243"/>
      <c r="D8" s="243"/>
      <c r="E8" s="234"/>
      <c r="F8" s="235"/>
      <c r="G8" s="235"/>
      <c r="H8" s="235"/>
      <c r="I8" s="235"/>
      <c r="J8" s="235"/>
      <c r="K8" s="235"/>
      <c r="L8" s="235"/>
      <c r="M8" s="235"/>
      <c r="N8" s="235"/>
      <c r="O8" s="235"/>
      <c r="P8" s="235"/>
      <c r="Q8" s="235"/>
      <c r="R8" s="235"/>
      <c r="S8" s="235"/>
      <c r="T8" s="235"/>
      <c r="U8" s="235"/>
      <c r="V8" s="6"/>
      <c r="W8" s="6"/>
      <c r="X8" s="6"/>
      <c r="Y8" s="6"/>
      <c r="Z8" s="6"/>
    </row>
    <row r="9" ht="7.5" customHeight="1">
      <c r="A9" s="236"/>
      <c r="B9" s="98"/>
      <c r="C9" s="243"/>
      <c r="D9" s="243"/>
      <c r="E9" s="234"/>
      <c r="F9" s="235"/>
      <c r="G9" s="235"/>
      <c r="H9" s="235"/>
      <c r="I9" s="235"/>
      <c r="J9" s="235"/>
      <c r="K9" s="235"/>
      <c r="L9" s="235"/>
      <c r="M9" s="235"/>
      <c r="N9" s="235"/>
      <c r="O9" s="235"/>
      <c r="P9" s="235"/>
      <c r="Q9" s="235"/>
      <c r="R9" s="235"/>
      <c r="S9" s="235"/>
      <c r="T9" s="235"/>
      <c r="U9" s="235"/>
      <c r="V9" s="6"/>
      <c r="W9" s="6"/>
      <c r="X9" s="6"/>
      <c r="Y9" s="6"/>
      <c r="Z9" s="6"/>
    </row>
    <row r="10" ht="7.5" customHeight="1">
      <c r="A10" s="236"/>
      <c r="B10" s="98"/>
      <c r="C10" s="243"/>
      <c r="D10" s="243"/>
      <c r="E10" s="234"/>
      <c r="F10" s="235"/>
      <c r="G10" s="235"/>
      <c r="H10" s="235"/>
      <c r="I10" s="235"/>
      <c r="J10" s="235"/>
      <c r="K10" s="235"/>
      <c r="L10" s="235"/>
      <c r="M10" s="235"/>
      <c r="N10" s="235"/>
      <c r="O10" s="235"/>
      <c r="P10" s="235"/>
      <c r="Q10" s="235"/>
      <c r="R10" s="235"/>
      <c r="S10" s="235"/>
      <c r="T10" s="235"/>
      <c r="U10" s="235"/>
      <c r="V10" s="6"/>
      <c r="W10" s="6"/>
      <c r="X10" s="6"/>
      <c r="Y10" s="6"/>
      <c r="Z10" s="6"/>
    </row>
    <row r="11" ht="7.5" customHeight="1">
      <c r="A11" s="236"/>
      <c r="B11" s="98"/>
      <c r="C11" s="243"/>
      <c r="D11" s="243"/>
      <c r="E11" s="234"/>
      <c r="F11" s="235"/>
      <c r="G11" s="235"/>
      <c r="H11" s="235"/>
      <c r="I11" s="235"/>
      <c r="J11" s="235"/>
      <c r="K11" s="235"/>
      <c r="L11" s="235"/>
      <c r="M11" s="235"/>
      <c r="N11" s="235"/>
      <c r="O11" s="235"/>
      <c r="P11" s="235"/>
      <c r="Q11" s="235"/>
      <c r="R11" s="235"/>
      <c r="S11" s="235"/>
      <c r="T11" s="235"/>
      <c r="U11" s="235"/>
      <c r="V11" s="6"/>
      <c r="W11" s="6"/>
      <c r="X11" s="6"/>
      <c r="Y11" s="6"/>
      <c r="Z11" s="6"/>
    </row>
    <row r="12" ht="7.5" customHeight="1">
      <c r="A12" s="236"/>
      <c r="B12" s="98"/>
      <c r="C12" s="243"/>
      <c r="D12" s="243"/>
      <c r="E12" s="234"/>
      <c r="F12" s="235"/>
      <c r="G12" s="235"/>
      <c r="H12" s="235"/>
      <c r="I12" s="235"/>
      <c r="J12" s="235"/>
      <c r="K12" s="235"/>
      <c r="L12" s="235"/>
      <c r="M12" s="235"/>
      <c r="N12" s="235"/>
      <c r="O12" s="235"/>
      <c r="P12" s="235"/>
      <c r="Q12" s="235"/>
      <c r="R12" s="235"/>
      <c r="S12" s="235"/>
      <c r="T12" s="235"/>
      <c r="U12" s="235"/>
      <c r="V12" s="6"/>
      <c r="W12" s="6"/>
      <c r="X12" s="6"/>
      <c r="Y12" s="6"/>
      <c r="Z12" s="6"/>
    </row>
    <row r="13" ht="7.5" customHeight="1">
      <c r="A13" s="236"/>
      <c r="B13" s="98"/>
      <c r="C13" s="243"/>
      <c r="D13" s="243"/>
      <c r="E13" s="234"/>
      <c r="F13" s="235"/>
      <c r="G13" s="235"/>
      <c r="H13" s="235"/>
      <c r="I13" s="235"/>
      <c r="J13" s="235"/>
      <c r="K13" s="235"/>
      <c r="L13" s="235"/>
      <c r="M13" s="235"/>
      <c r="N13" s="235"/>
      <c r="O13" s="235"/>
      <c r="P13" s="235"/>
      <c r="Q13" s="235"/>
      <c r="R13" s="235"/>
      <c r="S13" s="235"/>
      <c r="T13" s="235"/>
      <c r="U13" s="235"/>
      <c r="V13" s="6"/>
      <c r="W13" s="6"/>
      <c r="X13" s="6"/>
      <c r="Y13" s="6"/>
      <c r="Z13" s="6"/>
    </row>
    <row r="14" ht="7.5" customHeight="1">
      <c r="A14" s="236"/>
      <c r="B14" s="98"/>
      <c r="C14" s="243"/>
      <c r="D14" s="243"/>
      <c r="E14" s="234"/>
      <c r="F14" s="235"/>
      <c r="G14" s="235"/>
      <c r="H14" s="235"/>
      <c r="I14" s="235"/>
      <c r="J14" s="235"/>
      <c r="K14" s="235"/>
      <c r="L14" s="235"/>
      <c r="M14" s="235"/>
      <c r="N14" s="235"/>
      <c r="O14" s="235"/>
      <c r="P14" s="235"/>
      <c r="Q14" s="235"/>
      <c r="R14" s="235"/>
      <c r="S14" s="235"/>
      <c r="T14" s="235"/>
      <c r="U14" s="235"/>
      <c r="V14" s="6"/>
      <c r="W14" s="6"/>
      <c r="X14" s="6"/>
      <c r="Y14" s="6"/>
      <c r="Z14" s="6"/>
    </row>
    <row r="15" ht="7.5" customHeight="1">
      <c r="A15" s="236"/>
      <c r="B15" s="98"/>
      <c r="C15" s="243"/>
      <c r="D15" s="243"/>
      <c r="E15" s="234"/>
      <c r="F15" s="235"/>
      <c r="G15" s="235"/>
      <c r="H15" s="235"/>
      <c r="I15" s="235"/>
      <c r="J15" s="235"/>
      <c r="K15" s="235"/>
      <c r="L15" s="235"/>
      <c r="M15" s="235"/>
      <c r="N15" s="235"/>
      <c r="O15" s="235"/>
      <c r="P15" s="235"/>
      <c r="Q15" s="235"/>
      <c r="R15" s="235"/>
      <c r="S15" s="235"/>
      <c r="T15" s="235"/>
      <c r="U15" s="235"/>
      <c r="V15" s="6"/>
      <c r="W15" s="6"/>
      <c r="X15" s="6"/>
      <c r="Y15" s="6"/>
      <c r="Z15" s="6"/>
    </row>
    <row r="16" ht="7.5" customHeight="1">
      <c r="A16" s="236"/>
      <c r="B16" s="98"/>
      <c r="C16" s="243"/>
      <c r="D16" s="243"/>
      <c r="E16" s="234"/>
      <c r="F16" s="235"/>
      <c r="G16" s="235"/>
      <c r="H16" s="235"/>
      <c r="I16" s="235"/>
      <c r="J16" s="235"/>
      <c r="K16" s="235"/>
      <c r="L16" s="235"/>
      <c r="M16" s="235"/>
      <c r="N16" s="235"/>
      <c r="O16" s="235"/>
      <c r="P16" s="235"/>
      <c r="Q16" s="235"/>
      <c r="R16" s="235"/>
      <c r="S16" s="235"/>
      <c r="T16" s="235"/>
      <c r="U16" s="235"/>
      <c r="V16" s="6"/>
      <c r="W16" s="6"/>
      <c r="X16" s="6"/>
      <c r="Y16" s="6"/>
      <c r="Z16" s="6"/>
    </row>
    <row r="17" ht="7.5" customHeight="1">
      <c r="A17" s="242"/>
      <c r="B17" s="242"/>
      <c r="C17" s="242"/>
      <c r="D17" s="242"/>
      <c r="E17" s="234"/>
      <c r="F17" s="235"/>
      <c r="G17" s="235"/>
      <c r="H17" s="235"/>
      <c r="I17" s="235"/>
      <c r="J17" s="235"/>
      <c r="K17" s="235"/>
      <c r="L17" s="235"/>
      <c r="M17" s="235"/>
      <c r="N17" s="235"/>
      <c r="O17" s="235"/>
      <c r="P17" s="235"/>
      <c r="Q17" s="235"/>
      <c r="R17" s="235"/>
      <c r="S17" s="235"/>
      <c r="T17" s="235"/>
      <c r="U17" s="235"/>
      <c r="V17" s="6"/>
      <c r="W17" s="6"/>
      <c r="X17" s="6"/>
      <c r="Y17" s="6"/>
      <c r="Z17" s="6"/>
    </row>
    <row r="18" ht="7.5" customHeight="1">
      <c r="A18" s="236"/>
      <c r="B18" s="98"/>
      <c r="C18" s="243"/>
      <c r="D18" s="243"/>
      <c r="E18" s="234"/>
      <c r="F18" s="235"/>
      <c r="G18" s="235"/>
      <c r="H18" s="235"/>
      <c r="I18" s="235"/>
      <c r="J18" s="235"/>
      <c r="K18" s="235"/>
      <c r="L18" s="235"/>
      <c r="M18" s="235"/>
      <c r="N18" s="235"/>
      <c r="O18" s="235"/>
      <c r="P18" s="235"/>
      <c r="Q18" s="235"/>
      <c r="R18" s="235"/>
      <c r="S18" s="235"/>
      <c r="T18" s="235"/>
      <c r="U18" s="235"/>
      <c r="V18" s="6"/>
      <c r="W18" s="6"/>
      <c r="X18" s="6"/>
      <c r="Y18" s="6"/>
      <c r="Z18" s="6"/>
    </row>
    <row r="19" ht="7.5" customHeight="1">
      <c r="A19" s="236"/>
      <c r="B19" s="98"/>
      <c r="C19" s="243"/>
      <c r="D19" s="243"/>
      <c r="E19" s="234"/>
      <c r="F19" s="235"/>
      <c r="G19" s="235"/>
      <c r="H19" s="235"/>
      <c r="I19" s="235"/>
      <c r="J19" s="235"/>
      <c r="K19" s="235"/>
      <c r="L19" s="235"/>
      <c r="M19" s="235"/>
      <c r="N19" s="235"/>
      <c r="O19" s="235"/>
      <c r="P19" s="235"/>
      <c r="Q19" s="235"/>
      <c r="R19" s="235"/>
      <c r="S19" s="235"/>
      <c r="T19" s="235"/>
      <c r="U19" s="235"/>
      <c r="V19" s="6"/>
      <c r="W19" s="6"/>
      <c r="X19" s="6"/>
      <c r="Y19" s="6"/>
      <c r="Z19" s="6"/>
    </row>
    <row r="20" ht="36.0" customHeight="1">
      <c r="A20" s="45" t="s">
        <v>77</v>
      </c>
      <c r="B20" s="14"/>
      <c r="C20" s="46"/>
      <c r="D20" s="47"/>
      <c r="E20" s="234"/>
      <c r="F20" s="235"/>
      <c r="G20" s="235"/>
      <c r="H20" s="235"/>
      <c r="I20" s="235"/>
      <c r="J20" s="235"/>
      <c r="K20" s="235"/>
      <c r="L20" s="235"/>
      <c r="M20" s="235"/>
      <c r="N20" s="235"/>
      <c r="O20" s="235"/>
      <c r="P20" s="235"/>
      <c r="Q20" s="235"/>
      <c r="R20" s="235"/>
      <c r="S20" s="235"/>
      <c r="T20" s="235"/>
      <c r="U20" s="235"/>
      <c r="V20" s="6"/>
      <c r="W20" s="6"/>
      <c r="X20" s="6"/>
      <c r="Y20" s="6"/>
      <c r="Z20" s="6"/>
    </row>
    <row r="21" ht="186.0" customHeight="1">
      <c r="A21" s="49" t="s">
        <v>1183</v>
      </c>
      <c r="B21" s="40"/>
      <c r="C21" s="40"/>
      <c r="D21" s="14"/>
      <c r="E21" s="234"/>
      <c r="F21" s="235"/>
      <c r="G21" s="235"/>
      <c r="H21" s="235"/>
      <c r="I21" s="235"/>
      <c r="J21" s="235"/>
      <c r="K21" s="235"/>
      <c r="L21" s="235"/>
      <c r="M21" s="235"/>
      <c r="N21" s="235"/>
      <c r="O21" s="235"/>
      <c r="P21" s="235"/>
      <c r="Q21" s="235"/>
      <c r="R21" s="235"/>
      <c r="S21" s="235"/>
      <c r="T21" s="235"/>
      <c r="U21" s="235"/>
      <c r="V21" s="235"/>
      <c r="W21" s="235"/>
      <c r="X21" s="235"/>
      <c r="Y21" s="6"/>
      <c r="Z21" s="6"/>
    </row>
    <row r="22" ht="36.75" customHeight="1">
      <c r="A22" s="45" t="s">
        <v>8</v>
      </c>
      <c r="B22" s="14"/>
      <c r="C22" s="60" t="s">
        <v>1184</v>
      </c>
      <c r="D22" s="60" t="s">
        <v>1185</v>
      </c>
      <c r="E22" s="234"/>
      <c r="F22" s="235"/>
      <c r="G22" s="235"/>
      <c r="H22" s="235"/>
      <c r="I22" s="235"/>
      <c r="J22" s="235"/>
      <c r="K22" s="235"/>
      <c r="L22" s="235"/>
      <c r="M22" s="235"/>
      <c r="N22" s="235"/>
      <c r="O22" s="235"/>
      <c r="P22" s="235"/>
      <c r="Q22" s="235"/>
      <c r="R22" s="235"/>
      <c r="S22" s="235"/>
      <c r="T22" s="235"/>
      <c r="U22" s="235"/>
      <c r="V22" s="235"/>
      <c r="W22" s="235"/>
      <c r="X22" s="235"/>
      <c r="Y22" s="6"/>
      <c r="Z22" s="6"/>
    </row>
    <row r="23" ht="55.5" customHeight="1">
      <c r="A23" s="49" t="s">
        <v>1186</v>
      </c>
      <c r="B23" s="40"/>
      <c r="C23" s="40"/>
      <c r="D23" s="14"/>
      <c r="E23" s="234"/>
      <c r="F23" s="235"/>
      <c r="G23" s="235"/>
      <c r="H23" s="235"/>
      <c r="I23" s="235"/>
      <c r="J23" s="235"/>
      <c r="K23" s="235"/>
      <c r="L23" s="235"/>
      <c r="M23" s="235"/>
      <c r="N23" s="235"/>
      <c r="O23" s="235"/>
      <c r="P23" s="235"/>
      <c r="Q23" s="235"/>
      <c r="R23" s="235"/>
      <c r="S23" s="235"/>
      <c r="T23" s="235"/>
      <c r="U23" s="235"/>
      <c r="V23" s="235"/>
      <c r="W23" s="235"/>
      <c r="X23" s="235"/>
      <c r="Y23" s="6"/>
      <c r="Z23" s="6"/>
    </row>
    <row r="24" ht="54.75" customHeight="1">
      <c r="A24" s="51" t="str">
        <f>'HECVAT - Full'!A24</f>
        <v>QUAL-01</v>
      </c>
      <c r="B24" s="62" t="str">
        <f>VLOOKUP(A24,'HECVAT - Full'!A$24:B$312,2,FALSE)</f>
        <v>Does your product process protected health information (PHI) or any data covered by the Health Insurance Portability and Accountability Act?</v>
      </c>
      <c r="C24" s="32" t="s">
        <v>1187</v>
      </c>
      <c r="D24" s="32" t="s">
        <v>1188</v>
      </c>
      <c r="E24" s="234"/>
      <c r="F24" s="235"/>
      <c r="G24" s="235"/>
      <c r="H24" s="235"/>
      <c r="I24" s="235"/>
      <c r="J24" s="235"/>
      <c r="K24" s="235"/>
      <c r="L24" s="235"/>
      <c r="M24" s="235"/>
      <c r="N24" s="235"/>
      <c r="O24" s="235"/>
      <c r="P24" s="235"/>
      <c r="Q24" s="235"/>
      <c r="R24" s="235"/>
      <c r="S24" s="235"/>
      <c r="T24" s="235"/>
      <c r="U24" s="235"/>
      <c r="V24" s="235"/>
      <c r="W24" s="235"/>
      <c r="X24" s="235"/>
      <c r="Y24" s="6"/>
      <c r="Z24" s="6"/>
    </row>
    <row r="25" ht="85.5" customHeight="1">
      <c r="A25" s="51" t="str">
        <f>'HECVAT - Full'!A25</f>
        <v>QUAL-02</v>
      </c>
      <c r="B25" s="62" t="str">
        <f>VLOOKUP(A25,'HECVAT - Full'!A$24:B$312,2,FALSE)</f>
        <v>Does the vended product host/support a mobile application? (e.g. app)</v>
      </c>
      <c r="C25" s="32" t="s">
        <v>1189</v>
      </c>
      <c r="D25" s="32" t="s">
        <v>1190</v>
      </c>
      <c r="E25" s="234"/>
      <c r="F25" s="235"/>
      <c r="G25" s="235"/>
      <c r="H25" s="235"/>
      <c r="I25" s="235"/>
      <c r="J25" s="235"/>
      <c r="K25" s="235"/>
      <c r="L25" s="235"/>
      <c r="M25" s="235"/>
      <c r="N25" s="235"/>
      <c r="O25" s="235"/>
      <c r="P25" s="235"/>
      <c r="Q25" s="235"/>
      <c r="R25" s="235"/>
      <c r="S25" s="235"/>
      <c r="T25" s="235"/>
      <c r="U25" s="235"/>
      <c r="V25" s="235"/>
      <c r="W25" s="235"/>
      <c r="X25" s="235"/>
      <c r="Y25" s="6"/>
      <c r="Z25" s="6"/>
    </row>
    <row r="26" ht="84.0" customHeight="1">
      <c r="A26" s="51" t="str">
        <f>'HECVAT - Full'!A26</f>
        <v>QUAL-03</v>
      </c>
      <c r="B26" s="62" t="str">
        <f>VLOOKUP(A26,'HECVAT - Full'!A$24:B$312,2,FALSE)</f>
        <v>Will institution data be shared with or hosted by any third parties? (e.g. any entity not wholly-owned by your company is considered a third-party)</v>
      </c>
      <c r="C26" s="32" t="s">
        <v>1191</v>
      </c>
      <c r="D26" s="32" t="s">
        <v>1192</v>
      </c>
      <c r="E26" s="234"/>
      <c r="F26" s="235"/>
      <c r="G26" s="235"/>
      <c r="H26" s="235"/>
      <c r="I26" s="235"/>
      <c r="J26" s="235"/>
      <c r="K26" s="235"/>
      <c r="L26" s="235"/>
      <c r="M26" s="235"/>
      <c r="N26" s="235"/>
      <c r="O26" s="235"/>
      <c r="P26" s="235"/>
      <c r="Q26" s="235"/>
      <c r="R26" s="235"/>
      <c r="S26" s="235"/>
      <c r="T26" s="235"/>
      <c r="U26" s="235"/>
      <c r="V26" s="235"/>
      <c r="W26" s="235"/>
      <c r="X26" s="235"/>
      <c r="Y26" s="6"/>
      <c r="Z26" s="6"/>
    </row>
    <row r="27" ht="63.75" customHeight="1">
      <c r="A27" s="51" t="str">
        <f>'HECVAT - Full'!A27</f>
        <v>QUAL-04</v>
      </c>
      <c r="B27" s="62" t="str">
        <f>VLOOKUP(A27,'HECVAT - Full'!A$24:B$312,2,FALSE)</f>
        <v>Do you have a Business Continuity Plan (BCP)?</v>
      </c>
      <c r="C27" s="32" t="s">
        <v>1193</v>
      </c>
      <c r="D27" s="32" t="s">
        <v>1194</v>
      </c>
      <c r="E27" s="234"/>
      <c r="F27" s="235"/>
      <c r="G27" s="235"/>
      <c r="H27" s="235"/>
      <c r="I27" s="235"/>
      <c r="J27" s="235"/>
      <c r="K27" s="235"/>
      <c r="L27" s="235"/>
      <c r="M27" s="235"/>
      <c r="N27" s="235"/>
      <c r="O27" s="235"/>
      <c r="P27" s="235"/>
      <c r="Q27" s="235"/>
      <c r="R27" s="235"/>
      <c r="S27" s="235"/>
      <c r="T27" s="235"/>
      <c r="U27" s="235"/>
      <c r="V27" s="235"/>
      <c r="W27" s="235"/>
      <c r="X27" s="235"/>
      <c r="Y27" s="6"/>
      <c r="Z27" s="6"/>
    </row>
    <row r="28" ht="63.75" customHeight="1">
      <c r="A28" s="51" t="str">
        <f>'HECVAT - Full'!A28</f>
        <v>QUAL-05</v>
      </c>
      <c r="B28" s="62" t="str">
        <f>VLOOKUP(A28,'HECVAT - Full'!A$24:B$312,2,FALSE)</f>
        <v>Do you have a Disaster Recovery Plan (DRP)?</v>
      </c>
      <c r="C28" s="32" t="s">
        <v>1195</v>
      </c>
      <c r="D28" s="32" t="s">
        <v>1196</v>
      </c>
      <c r="E28" s="234"/>
      <c r="F28" s="235"/>
      <c r="G28" s="235"/>
      <c r="H28" s="235"/>
      <c r="I28" s="235"/>
      <c r="J28" s="235"/>
      <c r="K28" s="235"/>
      <c r="L28" s="235"/>
      <c r="M28" s="235"/>
      <c r="N28" s="235"/>
      <c r="O28" s="235"/>
      <c r="P28" s="235"/>
      <c r="Q28" s="235"/>
      <c r="R28" s="235"/>
      <c r="S28" s="235"/>
      <c r="T28" s="235"/>
      <c r="U28" s="235"/>
      <c r="V28" s="235"/>
      <c r="W28" s="235"/>
      <c r="X28" s="235"/>
      <c r="Y28" s="6"/>
      <c r="Z28" s="6"/>
    </row>
    <row r="29" ht="54.0" customHeight="1">
      <c r="A29" s="51" t="str">
        <f>'HECVAT - Full'!A29</f>
        <v>QUAL-06</v>
      </c>
      <c r="B29" s="62" t="str">
        <f>VLOOKUP(A29,'HECVAT - Full'!A$24:B$312,2,FALSE)</f>
        <v>Will data regulated by PCI DSS reside in the vended product?</v>
      </c>
      <c r="C29" s="32" t="s">
        <v>1197</v>
      </c>
      <c r="D29" s="32" t="s">
        <v>1198</v>
      </c>
      <c r="E29" s="234"/>
      <c r="F29" s="235"/>
      <c r="G29" s="235"/>
      <c r="H29" s="235"/>
      <c r="I29" s="235"/>
      <c r="J29" s="235"/>
      <c r="K29" s="235"/>
      <c r="L29" s="235"/>
      <c r="M29" s="235"/>
      <c r="N29" s="235"/>
      <c r="O29" s="235"/>
      <c r="P29" s="235"/>
      <c r="Q29" s="235"/>
      <c r="R29" s="235"/>
      <c r="S29" s="235"/>
      <c r="T29" s="235"/>
      <c r="U29" s="235"/>
      <c r="V29" s="235"/>
      <c r="W29" s="235"/>
      <c r="X29" s="235"/>
      <c r="Y29" s="6"/>
      <c r="Z29" s="6"/>
    </row>
    <row r="30" ht="111.75" customHeight="1">
      <c r="A30" s="51" t="str">
        <f>'HECVAT - Full'!A30</f>
        <v>QUAL-07</v>
      </c>
      <c r="B30" s="62" t="str">
        <f>VLOOKUP(A30,'HECVAT - Full'!A$24:B$312,2,FALSE)</f>
        <v>Is your company a consulting firm providing only consultation to the Institution?</v>
      </c>
      <c r="C30" s="32" t="s">
        <v>1199</v>
      </c>
      <c r="D30" s="32" t="s">
        <v>1200</v>
      </c>
      <c r="E30" s="234"/>
      <c r="F30" s="235"/>
      <c r="G30" s="235"/>
      <c r="H30" s="235"/>
      <c r="I30" s="235"/>
      <c r="J30" s="235"/>
      <c r="K30" s="235"/>
      <c r="L30" s="235"/>
      <c r="M30" s="235"/>
      <c r="N30" s="235"/>
      <c r="O30" s="235"/>
      <c r="P30" s="235"/>
      <c r="Q30" s="235"/>
      <c r="R30" s="235"/>
      <c r="S30" s="235"/>
      <c r="T30" s="235"/>
      <c r="U30" s="235"/>
      <c r="V30" s="235"/>
      <c r="W30" s="235"/>
      <c r="X30" s="235"/>
      <c r="Y30" s="6"/>
      <c r="Z30" s="6"/>
    </row>
    <row r="31" ht="36.0" customHeight="1">
      <c r="A31" s="45" t="s">
        <v>10</v>
      </c>
      <c r="B31" s="14"/>
      <c r="C31" s="60" t="str">
        <f>$C$22</f>
        <v>Reason for Question</v>
      </c>
      <c r="D31" s="60" t="str">
        <f>$D$22</f>
        <v>Follow-up Inquiries/Responses</v>
      </c>
      <c r="E31" s="234"/>
      <c r="F31" s="235"/>
      <c r="G31" s="235"/>
      <c r="H31" s="235"/>
      <c r="I31" s="235"/>
      <c r="J31" s="235"/>
      <c r="K31" s="235"/>
      <c r="L31" s="235"/>
      <c r="M31" s="235"/>
      <c r="N31" s="235"/>
      <c r="O31" s="235"/>
      <c r="P31" s="235"/>
      <c r="Q31" s="235"/>
      <c r="R31" s="235"/>
      <c r="S31" s="235"/>
      <c r="T31" s="235"/>
      <c r="U31" s="235"/>
      <c r="V31" s="235"/>
      <c r="W31" s="235"/>
      <c r="X31" s="235"/>
      <c r="Y31" s="6"/>
      <c r="Z31" s="6"/>
    </row>
    <row r="32" ht="48.0" customHeight="1">
      <c r="A32" s="51" t="str">
        <f>'HECVAT - Full'!A32</f>
        <v>DOCU-01</v>
      </c>
      <c r="B32" s="62" t="str">
        <f>VLOOKUP(A32,'HECVAT - Full'!A$24:B$312,2,FALSE)</f>
        <v>Have you undergone a SSAE 18 audit?</v>
      </c>
      <c r="C32" s="32" t="s">
        <v>1201</v>
      </c>
      <c r="D32" s="63" t="s">
        <v>1202</v>
      </c>
      <c r="E32" s="234"/>
      <c r="F32" s="235"/>
      <c r="G32" s="235"/>
      <c r="H32" s="235"/>
      <c r="I32" s="235"/>
      <c r="J32" s="235"/>
      <c r="K32" s="235"/>
      <c r="L32" s="235"/>
      <c r="M32" s="235"/>
      <c r="N32" s="235"/>
      <c r="O32" s="235"/>
      <c r="P32" s="235"/>
      <c r="Q32" s="235"/>
      <c r="R32" s="235"/>
      <c r="S32" s="235"/>
      <c r="T32" s="235"/>
      <c r="U32" s="235"/>
      <c r="V32" s="235"/>
      <c r="W32" s="235"/>
      <c r="X32" s="235"/>
      <c r="Y32" s="6"/>
      <c r="Z32" s="6"/>
    </row>
    <row r="33" ht="63.75" customHeight="1">
      <c r="A33" s="51" t="str">
        <f>'HECVAT - Full'!A33</f>
        <v>DOCU-02</v>
      </c>
      <c r="B33" s="62" t="str">
        <f>VLOOKUP(A33,'HECVAT - Full'!A$24:B$312,2,FALSE)</f>
        <v>Have you completed the Cloud Security Alliance (CSA) self assessment or CAIQ?</v>
      </c>
      <c r="C33" s="32" t="s">
        <v>1203</v>
      </c>
      <c r="D33" s="63" t="s">
        <v>1204</v>
      </c>
      <c r="E33" s="234"/>
      <c r="F33" s="235"/>
      <c r="G33" s="235"/>
      <c r="H33" s="235"/>
      <c r="I33" s="235"/>
      <c r="J33" s="235"/>
      <c r="K33" s="235"/>
      <c r="L33" s="235"/>
      <c r="M33" s="235"/>
      <c r="N33" s="235"/>
      <c r="O33" s="235"/>
      <c r="P33" s="235"/>
      <c r="Q33" s="235"/>
      <c r="R33" s="235"/>
      <c r="S33" s="235"/>
      <c r="T33" s="235"/>
      <c r="U33" s="235"/>
      <c r="V33" s="235"/>
      <c r="W33" s="235"/>
      <c r="X33" s="235"/>
      <c r="Y33" s="6"/>
      <c r="Z33" s="6"/>
    </row>
    <row r="34" ht="63.75" customHeight="1">
      <c r="A34" s="51" t="str">
        <f>'HECVAT - Full'!A34</f>
        <v>DOCU-03</v>
      </c>
      <c r="B34" s="62" t="str">
        <f>VLOOKUP(A34,'HECVAT - Full'!A$24:B$312,2,FALSE)</f>
        <v>Have you received the Cloud Security Alliance STAR certification?</v>
      </c>
      <c r="C34" s="32" t="s">
        <v>1205</v>
      </c>
      <c r="D34" s="63" t="s">
        <v>1206</v>
      </c>
      <c r="E34" s="234"/>
      <c r="F34" s="235"/>
      <c r="G34" s="235"/>
      <c r="H34" s="235"/>
      <c r="I34" s="235"/>
      <c r="J34" s="235"/>
      <c r="K34" s="235"/>
      <c r="L34" s="235"/>
      <c r="M34" s="235"/>
      <c r="N34" s="235"/>
      <c r="O34" s="235"/>
      <c r="P34" s="235"/>
      <c r="Q34" s="235"/>
      <c r="R34" s="235"/>
      <c r="S34" s="235"/>
      <c r="T34" s="235"/>
      <c r="U34" s="235"/>
      <c r="V34" s="235"/>
      <c r="W34" s="235"/>
      <c r="X34" s="235"/>
      <c r="Y34" s="6"/>
      <c r="Z34" s="6"/>
    </row>
    <row r="35" ht="111.75" customHeight="1">
      <c r="A35" s="51" t="str">
        <f>'HECVAT - Full'!A35</f>
        <v>DOCU-04</v>
      </c>
      <c r="B35" s="62" t="str">
        <f>VLOOKUP(A35,'HECVAT - Full'!A$24:B$312,2,FALSE)</f>
        <v>Do you conform with a specific industry standard security framework? (e.g. NIST Cybersecurity Framework, ISO 27001, etc.)</v>
      </c>
      <c r="C35" s="32" t="s">
        <v>1207</v>
      </c>
      <c r="D35" s="63" t="s">
        <v>1208</v>
      </c>
      <c r="E35" s="234"/>
      <c r="F35" s="235"/>
      <c r="G35" s="235"/>
      <c r="H35" s="235"/>
      <c r="I35" s="235"/>
      <c r="J35" s="235"/>
      <c r="K35" s="235"/>
      <c r="L35" s="235"/>
      <c r="M35" s="235"/>
      <c r="N35" s="235"/>
      <c r="O35" s="235"/>
      <c r="P35" s="235"/>
      <c r="Q35" s="235"/>
      <c r="R35" s="235"/>
      <c r="S35" s="235"/>
      <c r="T35" s="235"/>
      <c r="U35" s="235"/>
      <c r="V35" s="235"/>
      <c r="W35" s="235"/>
      <c r="X35" s="235"/>
      <c r="Y35" s="6"/>
      <c r="Z35" s="6"/>
    </row>
    <row r="36" ht="48.0" customHeight="1">
      <c r="A36" s="51" t="str">
        <f>'HECVAT - Full'!A36</f>
        <v>DOCU-05</v>
      </c>
      <c r="B36" s="62" t="str">
        <f>VLOOKUP(A36,'HECVAT - Full'!A$24:B$312,2,FALSE)</f>
        <v>Are you compliant with FISMA standards?</v>
      </c>
      <c r="C36" s="32" t="s">
        <v>1209</v>
      </c>
      <c r="D36" s="63" t="s">
        <v>1210</v>
      </c>
      <c r="E36" s="234"/>
      <c r="F36" s="235"/>
      <c r="G36" s="235"/>
      <c r="H36" s="235"/>
      <c r="I36" s="235"/>
      <c r="J36" s="235"/>
      <c r="K36" s="235"/>
      <c r="L36" s="235"/>
      <c r="M36" s="235"/>
      <c r="N36" s="235"/>
      <c r="O36" s="235"/>
      <c r="P36" s="235"/>
      <c r="Q36" s="235"/>
      <c r="R36" s="235"/>
      <c r="S36" s="235"/>
      <c r="T36" s="235"/>
      <c r="U36" s="235"/>
      <c r="V36" s="235"/>
      <c r="W36" s="235"/>
      <c r="X36" s="235"/>
      <c r="Y36" s="6"/>
      <c r="Z36" s="6"/>
    </row>
    <row r="37" ht="96.0" customHeight="1">
      <c r="A37" s="51" t="str">
        <f>'HECVAT - Full'!A37</f>
        <v>DOCU-06</v>
      </c>
      <c r="B37" s="62" t="str">
        <f>VLOOKUP(A37,'HECVAT - Full'!A$24:B$312,2,FALSE)</f>
        <v>Does your organization have a data privacy policy?</v>
      </c>
      <c r="C37" s="32" t="s">
        <v>1211</v>
      </c>
      <c r="D37" s="32" t="s">
        <v>1212</v>
      </c>
      <c r="E37" s="234"/>
      <c r="F37" s="235"/>
      <c r="G37" s="235"/>
      <c r="H37" s="235"/>
      <c r="I37" s="235"/>
      <c r="J37" s="235"/>
      <c r="K37" s="235"/>
      <c r="L37" s="235"/>
      <c r="M37" s="235"/>
      <c r="N37" s="235"/>
      <c r="O37" s="235"/>
      <c r="P37" s="235"/>
      <c r="Q37" s="235"/>
      <c r="R37" s="235"/>
      <c r="S37" s="235"/>
      <c r="T37" s="235"/>
      <c r="U37" s="235"/>
      <c r="V37" s="235"/>
      <c r="W37" s="235"/>
      <c r="X37" s="235"/>
      <c r="Y37" s="6"/>
      <c r="Z37" s="6"/>
    </row>
    <row r="38" ht="36.0" customHeight="1">
      <c r="A38" s="45" t="s">
        <v>12</v>
      </c>
      <c r="B38" s="14"/>
      <c r="C38" s="60" t="str">
        <f>$C$22</f>
        <v>Reason for Question</v>
      </c>
      <c r="D38" s="60" t="str">
        <f>$D$22</f>
        <v>Follow-up Inquiries/Responses</v>
      </c>
      <c r="E38" s="234"/>
      <c r="F38" s="235"/>
      <c r="G38" s="235"/>
      <c r="H38" s="235"/>
      <c r="I38" s="235"/>
      <c r="J38" s="235"/>
      <c r="K38" s="235"/>
      <c r="L38" s="235"/>
      <c r="M38" s="235"/>
      <c r="N38" s="235"/>
      <c r="O38" s="235"/>
      <c r="P38" s="235"/>
      <c r="Q38" s="235"/>
      <c r="R38" s="235"/>
      <c r="S38" s="235"/>
      <c r="T38" s="235"/>
      <c r="U38" s="235"/>
      <c r="V38" s="235"/>
      <c r="W38" s="235"/>
      <c r="X38" s="235"/>
      <c r="Y38" s="6"/>
      <c r="Z38" s="6"/>
    </row>
    <row r="39" ht="63.75" customHeight="1">
      <c r="A39" s="51" t="str">
        <f>'HECVAT - Full'!A39</f>
        <v>COMP-01</v>
      </c>
      <c r="B39" s="62" t="str">
        <f>VLOOKUP(A39,'HECVAT - Full'!A$24:B$312,2,FALSE)</f>
        <v>Describe your organization’s business background and ownership structure, including all parent and subsidiary relationships.</v>
      </c>
      <c r="C39" s="32" t="s">
        <v>1213</v>
      </c>
      <c r="D39" s="32" t="s">
        <v>1214</v>
      </c>
      <c r="E39" s="234"/>
      <c r="F39" s="235"/>
      <c r="G39" s="235"/>
      <c r="H39" s="235"/>
      <c r="I39" s="235"/>
      <c r="J39" s="235"/>
      <c r="K39" s="235"/>
      <c r="L39" s="235"/>
      <c r="M39" s="235"/>
      <c r="N39" s="235"/>
      <c r="O39" s="235"/>
      <c r="P39" s="235"/>
      <c r="Q39" s="235"/>
      <c r="R39" s="235"/>
      <c r="S39" s="235"/>
      <c r="T39" s="235"/>
      <c r="U39" s="235"/>
      <c r="V39" s="235"/>
      <c r="W39" s="235"/>
      <c r="X39" s="235"/>
      <c r="Y39" s="6"/>
      <c r="Z39" s="6"/>
    </row>
    <row r="40" ht="84.0" customHeight="1">
      <c r="A40" s="51" t="str">
        <f>'HECVAT - Full'!A40</f>
        <v>COMP-02</v>
      </c>
      <c r="B40" s="62" t="str">
        <f>VLOOKUP(A40,'HECVAT - Full'!A$24:B$312,2,FALSE)</f>
        <v>Describe how long your organization has conducted business in this product area.</v>
      </c>
      <c r="C40" s="32" t="s">
        <v>1215</v>
      </c>
      <c r="D40" s="32" t="s">
        <v>1216</v>
      </c>
      <c r="E40" s="234"/>
      <c r="F40" s="235"/>
      <c r="G40" s="235"/>
      <c r="H40" s="235"/>
      <c r="I40" s="235"/>
      <c r="J40" s="235"/>
      <c r="K40" s="235"/>
      <c r="L40" s="235"/>
      <c r="M40" s="235"/>
      <c r="N40" s="235"/>
      <c r="O40" s="235"/>
      <c r="P40" s="235"/>
      <c r="Q40" s="235"/>
      <c r="R40" s="235"/>
      <c r="S40" s="235"/>
      <c r="T40" s="235"/>
      <c r="U40" s="235"/>
      <c r="V40" s="235"/>
      <c r="W40" s="235"/>
      <c r="X40" s="235"/>
      <c r="Y40" s="6"/>
      <c r="Z40" s="6"/>
    </row>
    <row r="41" ht="96.0" customHeight="1">
      <c r="A41" s="51" t="str">
        <f>'HECVAT - Full'!A41</f>
        <v>COMP-03</v>
      </c>
      <c r="B41" s="62" t="str">
        <f>VLOOKUP(A41,'HECVAT - Full'!A$24:B$312,2,FALSE)</f>
        <v>Do you have existing higher education customers?</v>
      </c>
      <c r="C41" s="32" t="s">
        <v>1217</v>
      </c>
      <c r="D41" s="32" t="s">
        <v>1218</v>
      </c>
      <c r="E41" s="234"/>
      <c r="F41" s="235"/>
      <c r="G41" s="235"/>
      <c r="H41" s="235"/>
      <c r="I41" s="235"/>
      <c r="J41" s="235"/>
      <c r="K41" s="235"/>
      <c r="L41" s="235"/>
      <c r="M41" s="235"/>
      <c r="N41" s="235"/>
      <c r="O41" s="235"/>
      <c r="P41" s="235"/>
      <c r="Q41" s="235"/>
      <c r="R41" s="235"/>
      <c r="S41" s="235"/>
      <c r="T41" s="235"/>
      <c r="U41" s="235"/>
      <c r="V41" s="235"/>
      <c r="W41" s="235"/>
      <c r="X41" s="235"/>
      <c r="Y41" s="6"/>
      <c r="Z41" s="6"/>
    </row>
    <row r="42" ht="84.0" customHeight="1">
      <c r="A42" s="51" t="str">
        <f>'HECVAT - Full'!A42</f>
        <v>COMP-04</v>
      </c>
      <c r="B42" s="62" t="str">
        <f>VLOOKUP(A42,'HECVAT - Full'!A$24:B$312,2,FALSE)</f>
        <v>Have you had a significant breach in the last 5 years?</v>
      </c>
      <c r="C42" s="32" t="s">
        <v>1219</v>
      </c>
      <c r="D42" s="32" t="s">
        <v>1220</v>
      </c>
      <c r="E42" s="234"/>
      <c r="F42" s="235"/>
      <c r="G42" s="235"/>
      <c r="H42" s="235"/>
      <c r="I42" s="235"/>
      <c r="J42" s="235"/>
      <c r="K42" s="235"/>
      <c r="L42" s="235"/>
      <c r="M42" s="235"/>
      <c r="N42" s="235"/>
      <c r="O42" s="235"/>
      <c r="P42" s="235"/>
      <c r="Q42" s="235"/>
      <c r="R42" s="235"/>
      <c r="S42" s="235"/>
      <c r="T42" s="235"/>
      <c r="U42" s="235"/>
      <c r="V42" s="235"/>
      <c r="W42" s="235"/>
      <c r="X42" s="235"/>
      <c r="Y42" s="6"/>
      <c r="Z42" s="6"/>
    </row>
    <row r="43" ht="123.75" customHeight="1">
      <c r="A43" s="51" t="str">
        <f>'HECVAT - Full'!A43</f>
        <v>COMP-05</v>
      </c>
      <c r="B43" s="62" t="str">
        <f>VLOOKUP(A43,'HECVAT - Full'!A$24:B$312,2,FALSE)</f>
        <v>Do you have a dedicated Information Security staff or office?</v>
      </c>
      <c r="C43" s="32" t="s">
        <v>1221</v>
      </c>
      <c r="D43" s="32" t="s">
        <v>1222</v>
      </c>
      <c r="E43" s="234"/>
      <c r="F43" s="235"/>
      <c r="G43" s="235"/>
      <c r="H43" s="235"/>
      <c r="I43" s="235"/>
      <c r="J43" s="235"/>
      <c r="K43" s="235"/>
      <c r="L43" s="235"/>
      <c r="M43" s="235"/>
      <c r="N43" s="235"/>
      <c r="O43" s="235"/>
      <c r="P43" s="235"/>
      <c r="Q43" s="235"/>
      <c r="R43" s="235"/>
      <c r="S43" s="235"/>
      <c r="T43" s="235"/>
      <c r="U43" s="235"/>
      <c r="V43" s="235"/>
      <c r="W43" s="235"/>
      <c r="X43" s="235"/>
      <c r="Y43" s="6"/>
      <c r="Z43" s="6"/>
    </row>
    <row r="44" ht="111.75" customHeight="1">
      <c r="A44" s="51" t="str">
        <f>'HECVAT - Full'!A44</f>
        <v>COMP-06</v>
      </c>
      <c r="B44" s="62" t="str">
        <f>VLOOKUP(A44,'HECVAT - Full'!A$24:B$312,2,FALSE)</f>
        <v>Do you have a dedicated Software and System Development team(s)? (e.g. Customer Support, Implementation, Product Management, etc.)</v>
      </c>
      <c r="C44" s="32" t="s">
        <v>1223</v>
      </c>
      <c r="D44" s="32" t="s">
        <v>1224</v>
      </c>
      <c r="E44" s="234"/>
      <c r="F44" s="235"/>
      <c r="G44" s="235"/>
      <c r="H44" s="235"/>
      <c r="I44" s="235"/>
      <c r="J44" s="235"/>
      <c r="K44" s="235"/>
      <c r="L44" s="235"/>
      <c r="M44" s="235"/>
      <c r="N44" s="235"/>
      <c r="O44" s="235"/>
      <c r="P44" s="235"/>
      <c r="Q44" s="235"/>
      <c r="R44" s="235"/>
      <c r="S44" s="235"/>
      <c r="T44" s="235"/>
      <c r="U44" s="235"/>
      <c r="V44" s="235"/>
      <c r="W44" s="235"/>
      <c r="X44" s="235"/>
      <c r="Y44" s="6"/>
      <c r="Z44" s="6"/>
    </row>
    <row r="45" ht="111.75" customHeight="1">
      <c r="A45" s="51" t="str">
        <f>'HECVAT - Full'!A45</f>
        <v>COMP-07</v>
      </c>
      <c r="B45" s="62" t="str">
        <f>VLOOKUP(A45,'HECVAT - Full'!A$24:B$312,2,FALSE)</f>
        <v>Use this area to share information about your environment that will assist those who are assessing your company data security program.</v>
      </c>
      <c r="C45" s="32" t="s">
        <v>1225</v>
      </c>
      <c r="D45" s="32" t="s">
        <v>1226</v>
      </c>
      <c r="E45" s="234"/>
      <c r="F45" s="235"/>
      <c r="G45" s="235"/>
      <c r="H45" s="235"/>
      <c r="I45" s="235"/>
      <c r="J45" s="235"/>
      <c r="K45" s="235"/>
      <c r="L45" s="235"/>
      <c r="M45" s="235"/>
      <c r="N45" s="235"/>
      <c r="O45" s="235"/>
      <c r="P45" s="235"/>
      <c r="Q45" s="235"/>
      <c r="R45" s="235"/>
      <c r="S45" s="235"/>
      <c r="T45" s="235"/>
      <c r="U45" s="235"/>
      <c r="V45" s="235"/>
      <c r="W45" s="235"/>
      <c r="X45" s="235"/>
      <c r="Y45" s="6"/>
      <c r="Z45" s="6"/>
    </row>
    <row r="46" ht="36.0" customHeight="1">
      <c r="A46" s="45" t="str">
        <f>IF($C$26="No","Third Parties - Optional based on QUALIFIER response.","Third Parties")</f>
        <v>Third Parties</v>
      </c>
      <c r="B46" s="14"/>
      <c r="C46" s="60" t="str">
        <f>$C$22</f>
        <v>Reason for Question</v>
      </c>
      <c r="D46" s="60" t="str">
        <f>$D$22</f>
        <v>Follow-up Inquiries/Responses</v>
      </c>
      <c r="E46" s="234"/>
      <c r="F46" s="235"/>
      <c r="G46" s="235"/>
      <c r="H46" s="235"/>
      <c r="I46" s="235"/>
      <c r="J46" s="235"/>
      <c r="K46" s="235"/>
      <c r="L46" s="235"/>
      <c r="M46" s="235"/>
      <c r="N46" s="235"/>
      <c r="O46" s="235"/>
      <c r="P46" s="235"/>
      <c r="Q46" s="235"/>
      <c r="R46" s="235"/>
      <c r="S46" s="235"/>
      <c r="T46" s="235"/>
      <c r="U46" s="235"/>
      <c r="V46" s="235"/>
      <c r="W46" s="235"/>
      <c r="X46" s="235"/>
      <c r="Y46" s="6"/>
      <c r="Z46" s="6"/>
    </row>
    <row r="47" ht="96.0" customHeight="1">
      <c r="A47" s="51" t="str">
        <f>'HECVAT - Full'!A47</f>
        <v>THRD-01</v>
      </c>
      <c r="B47" s="62" t="str">
        <f>VLOOKUP(A47,'HECVAT - Full'!A$24:B$312,2,FALSE)</f>
        <v>Describe how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v>
      </c>
      <c r="C47" s="32" t="s">
        <v>1227</v>
      </c>
      <c r="D47" s="32" t="s">
        <v>1228</v>
      </c>
      <c r="E47" s="234"/>
      <c r="F47" s="235"/>
      <c r="G47" s="235"/>
      <c r="H47" s="235"/>
      <c r="I47" s="235"/>
      <c r="J47" s="235"/>
      <c r="K47" s="235"/>
      <c r="L47" s="235"/>
      <c r="M47" s="235"/>
      <c r="N47" s="235"/>
      <c r="O47" s="235"/>
      <c r="P47" s="235"/>
      <c r="Q47" s="235"/>
      <c r="R47" s="235"/>
      <c r="S47" s="235"/>
      <c r="T47" s="235"/>
      <c r="U47" s="235"/>
      <c r="V47" s="235"/>
      <c r="W47" s="235"/>
      <c r="X47" s="235"/>
      <c r="Y47" s="6"/>
      <c r="Z47" s="6"/>
    </row>
    <row r="48" ht="79.5" customHeight="1">
      <c r="A48" s="51" t="str">
        <f>'HECVAT - Full'!A48</f>
        <v>THRD-02</v>
      </c>
      <c r="B48" s="62" t="str">
        <f>VLOOKUP(A48,'HECVAT - Full'!A$24:B$312,2,FALSE)</f>
        <v>Provide a brief description for why each of these third parties will have access to institution data.</v>
      </c>
      <c r="C48" s="32" t="s">
        <v>1229</v>
      </c>
      <c r="D48" s="32" t="s">
        <v>1228</v>
      </c>
      <c r="E48" s="234"/>
      <c r="F48" s="235"/>
      <c r="G48" s="235"/>
      <c r="H48" s="235"/>
      <c r="I48" s="235"/>
      <c r="J48" s="235"/>
      <c r="K48" s="235"/>
      <c r="L48" s="235"/>
      <c r="M48" s="235"/>
      <c r="N48" s="235"/>
      <c r="O48" s="235"/>
      <c r="P48" s="235"/>
      <c r="Q48" s="235"/>
      <c r="R48" s="235"/>
      <c r="S48" s="235"/>
      <c r="T48" s="235"/>
      <c r="U48" s="235"/>
      <c r="V48" s="235"/>
      <c r="W48" s="235"/>
      <c r="X48" s="235"/>
      <c r="Y48" s="6"/>
      <c r="Z48" s="6"/>
    </row>
    <row r="49" ht="79.5" customHeight="1">
      <c r="A49" s="51" t="str">
        <f>'HECVAT - Full'!A49</f>
        <v>THRD-03</v>
      </c>
      <c r="B49" s="62" t="str">
        <f>VLOOKUP(A49,'HECVAT - Full'!A$24:B$312,2,FALSE)</f>
        <v>What legal agreements (i.e. contracts) do you have in place with these third parties that address liability in the event of a data breach?</v>
      </c>
      <c r="C49" s="32" t="s">
        <v>1230</v>
      </c>
      <c r="D49" s="32" t="s">
        <v>1231</v>
      </c>
      <c r="E49" s="234"/>
      <c r="F49" s="235"/>
      <c r="G49" s="235"/>
      <c r="H49" s="235"/>
      <c r="I49" s="235"/>
      <c r="J49" s="235"/>
      <c r="K49" s="235"/>
      <c r="L49" s="235"/>
      <c r="M49" s="235"/>
      <c r="N49" s="235"/>
      <c r="O49" s="235"/>
      <c r="P49" s="235"/>
      <c r="Q49" s="235"/>
      <c r="R49" s="235"/>
      <c r="S49" s="235"/>
      <c r="T49" s="235"/>
      <c r="U49" s="235"/>
      <c r="V49" s="235"/>
      <c r="W49" s="235"/>
      <c r="X49" s="235"/>
      <c r="Y49" s="6"/>
      <c r="Z49" s="6"/>
    </row>
    <row r="50" ht="79.5" customHeight="1">
      <c r="A50" s="51" t="str">
        <f>'HECVAT - Full'!A50</f>
        <v>THRD-04</v>
      </c>
      <c r="B50" s="62" t="str">
        <f>VLOOKUP(A50,'HECVAT - Full'!A$24:B$312,2,FALSE)</f>
        <v>Describe or provide references to your third party management strategy or provide additional information that may help analysts better understand your environment and how it relates to third-party solutions.</v>
      </c>
      <c r="C50" s="32" t="s">
        <v>1232</v>
      </c>
      <c r="D50" s="32" t="s">
        <v>1233</v>
      </c>
      <c r="E50" s="234"/>
      <c r="F50" s="235"/>
      <c r="G50" s="235"/>
      <c r="H50" s="235"/>
      <c r="I50" s="235"/>
      <c r="J50" s="235"/>
      <c r="K50" s="235"/>
      <c r="L50" s="235"/>
      <c r="M50" s="235"/>
      <c r="N50" s="235"/>
      <c r="O50" s="235"/>
      <c r="P50" s="235"/>
      <c r="Q50" s="235"/>
      <c r="R50" s="235"/>
      <c r="S50" s="235"/>
      <c r="T50" s="235"/>
      <c r="U50" s="235"/>
      <c r="V50" s="235"/>
      <c r="W50" s="235"/>
      <c r="X50" s="235"/>
      <c r="Y50" s="6"/>
      <c r="Z50" s="6"/>
    </row>
    <row r="51" ht="36.0" customHeight="1">
      <c r="A51" s="45" t="str">
        <f>IF($C$30="","Consulting",IF($C$30="Yes","Consulting - All questions after this section are OPTIONAL.","Consulting - Optional based on QUALIFIER response."))</f>
        <v>Consulting - Optional based on QUALIFIER response.</v>
      </c>
      <c r="B51" s="14"/>
      <c r="C51" s="60" t="str">
        <f>$C$22</f>
        <v>Reason for Question</v>
      </c>
      <c r="D51" s="60" t="str">
        <f>$D$22</f>
        <v>Follow-up Inquiries/Responses</v>
      </c>
      <c r="E51" s="234"/>
      <c r="F51" s="235"/>
      <c r="G51" s="235"/>
      <c r="H51" s="235"/>
      <c r="I51" s="235"/>
      <c r="J51" s="235"/>
      <c r="K51" s="235"/>
      <c r="L51" s="235"/>
      <c r="M51" s="235"/>
      <c r="N51" s="235"/>
      <c r="O51" s="235"/>
      <c r="P51" s="235"/>
      <c r="Q51" s="235"/>
      <c r="R51" s="235"/>
      <c r="S51" s="235"/>
      <c r="T51" s="235"/>
      <c r="U51" s="235"/>
      <c r="V51" s="235"/>
      <c r="W51" s="235"/>
      <c r="X51" s="235"/>
      <c r="Y51" s="6"/>
      <c r="Z51" s="6"/>
    </row>
    <row r="52" ht="142.5" customHeight="1">
      <c r="A52" s="51" t="str">
        <f>'HECVAT - Full'!A52</f>
        <v>CONS-01</v>
      </c>
      <c r="B52" s="62" t="str">
        <f>VLOOKUP(A52,'HECVAT - Full'!A$24:B$312,2,FALSE)</f>
        <v>Will the consulting take place on-premises?</v>
      </c>
      <c r="C52" s="32" t="s">
        <v>1234</v>
      </c>
      <c r="D52" s="32" t="s">
        <v>1235</v>
      </c>
      <c r="E52" s="234"/>
      <c r="F52" s="235"/>
      <c r="G52" s="235"/>
      <c r="H52" s="235"/>
      <c r="I52" s="235"/>
      <c r="J52" s="235"/>
      <c r="K52" s="235"/>
      <c r="L52" s="235"/>
      <c r="M52" s="235"/>
      <c r="N52" s="235"/>
      <c r="O52" s="235"/>
      <c r="P52" s="235"/>
      <c r="Q52" s="235"/>
      <c r="R52" s="235"/>
      <c r="S52" s="235"/>
      <c r="T52" s="235"/>
      <c r="U52" s="235"/>
      <c r="V52" s="235"/>
      <c r="W52" s="235"/>
      <c r="X52" s="235"/>
      <c r="Y52" s="6"/>
      <c r="Z52" s="6"/>
    </row>
    <row r="53" ht="185.25" customHeight="1">
      <c r="A53" s="51" t="str">
        <f>'HECVAT - Full'!A53</f>
        <v>CONS-02</v>
      </c>
      <c r="B53" s="62" t="str">
        <f>VLOOKUP(A53,'HECVAT - Full'!A$24:B$312,2,FALSE)</f>
        <v>Will the consultant require access to Institution's network resources?</v>
      </c>
      <c r="C53" s="32" t="s">
        <v>1236</v>
      </c>
      <c r="D53" s="32" t="s">
        <v>1237</v>
      </c>
      <c r="E53" s="234"/>
      <c r="F53" s="235"/>
      <c r="G53" s="235"/>
      <c r="H53" s="235"/>
      <c r="I53" s="235"/>
      <c r="J53" s="235"/>
      <c r="K53" s="235"/>
      <c r="L53" s="235"/>
      <c r="M53" s="235"/>
      <c r="N53" s="235"/>
      <c r="O53" s="235"/>
      <c r="P53" s="235"/>
      <c r="Q53" s="235"/>
      <c r="R53" s="235"/>
      <c r="S53" s="235"/>
      <c r="T53" s="235"/>
      <c r="U53" s="235"/>
      <c r="V53" s="235"/>
      <c r="W53" s="235"/>
      <c r="X53" s="235"/>
      <c r="Y53" s="6"/>
      <c r="Z53" s="6"/>
    </row>
    <row r="54" ht="128.25" customHeight="1">
      <c r="A54" s="51" t="str">
        <f>'HECVAT - Full'!A54</f>
        <v>CONS-03</v>
      </c>
      <c r="B54" s="62" t="str">
        <f>VLOOKUP(A54,'HECVAT - Full'!A$24:B$312,2,FALSE)</f>
        <v>Will the consultant require access to hardware in the Institution's data centers?</v>
      </c>
      <c r="C54" s="32" t="s">
        <v>1238</v>
      </c>
      <c r="D54" s="32" t="s">
        <v>1239</v>
      </c>
      <c r="E54" s="234"/>
      <c r="F54" s="235"/>
      <c r="G54" s="235"/>
      <c r="H54" s="235"/>
      <c r="I54" s="235"/>
      <c r="J54" s="235"/>
      <c r="K54" s="235"/>
      <c r="L54" s="235"/>
      <c r="M54" s="235"/>
      <c r="N54" s="235"/>
      <c r="O54" s="235"/>
      <c r="P54" s="235"/>
      <c r="Q54" s="235"/>
      <c r="R54" s="235"/>
      <c r="S54" s="235"/>
      <c r="T54" s="235"/>
      <c r="U54" s="235"/>
      <c r="V54" s="235"/>
      <c r="W54" s="235"/>
      <c r="X54" s="235"/>
      <c r="Y54" s="6"/>
      <c r="Z54" s="6"/>
    </row>
    <row r="55" ht="114.0" customHeight="1">
      <c r="A55" s="51" t="str">
        <f>'HECVAT - Full'!A55</f>
        <v>CONS-04</v>
      </c>
      <c r="B55" s="62" t="str">
        <f>VLOOKUP(A55,'HECVAT - Full'!A$24:B$312,2,FALSE)</f>
        <v>Will the consultant require an account within the Institution's domain (@*.edu)?</v>
      </c>
      <c r="C55" s="32" t="s">
        <v>1240</v>
      </c>
      <c r="D55" s="32" t="s">
        <v>1241</v>
      </c>
      <c r="E55" s="234"/>
      <c r="F55" s="235"/>
      <c r="G55" s="235"/>
      <c r="H55" s="235"/>
      <c r="I55" s="235"/>
      <c r="J55" s="235"/>
      <c r="K55" s="235"/>
      <c r="L55" s="235"/>
      <c r="M55" s="235"/>
      <c r="N55" s="235"/>
      <c r="O55" s="235"/>
      <c r="P55" s="235"/>
      <c r="Q55" s="235"/>
      <c r="R55" s="235"/>
      <c r="S55" s="235"/>
      <c r="T55" s="235"/>
      <c r="U55" s="235"/>
      <c r="V55" s="235"/>
      <c r="W55" s="235"/>
      <c r="X55" s="235"/>
      <c r="Y55" s="6"/>
      <c r="Z55" s="6"/>
    </row>
    <row r="56" ht="142.5" customHeight="1">
      <c r="A56" s="51" t="str">
        <f>'HECVAT - Full'!A56</f>
        <v>CONS-05</v>
      </c>
      <c r="B56" s="62" t="str">
        <f>VLOOKUP(A56,'HECVAT - Full'!A$24:B$312,2,FALSE)</f>
        <v>Has the consultant received training on [sensitive, HIPAA, PCI, etc.] data handling?</v>
      </c>
      <c r="C56" s="32" t="s">
        <v>1242</v>
      </c>
      <c r="D56" s="32" t="s">
        <v>1243</v>
      </c>
      <c r="E56" s="234"/>
      <c r="F56" s="235"/>
      <c r="G56" s="235"/>
      <c r="H56" s="235"/>
      <c r="I56" s="235"/>
      <c r="J56" s="235"/>
      <c r="K56" s="235"/>
      <c r="L56" s="235"/>
      <c r="M56" s="235"/>
      <c r="N56" s="235"/>
      <c r="O56" s="235"/>
      <c r="P56" s="235"/>
      <c r="Q56" s="235"/>
      <c r="R56" s="235"/>
      <c r="S56" s="235"/>
      <c r="T56" s="235"/>
      <c r="U56" s="235"/>
      <c r="V56" s="235"/>
      <c r="W56" s="235"/>
      <c r="X56" s="235"/>
      <c r="Y56" s="6"/>
      <c r="Z56" s="6"/>
    </row>
    <row r="57" ht="156.75" customHeight="1">
      <c r="A57" s="51" t="str">
        <f>'HECVAT - Full'!A57</f>
        <v>CONS-06</v>
      </c>
      <c r="B57" s="62" t="str">
        <f>VLOOKUP(A57,'HECVAT - Full'!A$24:B$312,2,FALSE)</f>
        <v>Will any data be transferred to the consultant's possession?</v>
      </c>
      <c r="C57" s="32" t="s">
        <v>1244</v>
      </c>
      <c r="D57" s="32" t="s">
        <v>1245</v>
      </c>
      <c r="E57" s="234"/>
      <c r="F57" s="235"/>
      <c r="G57" s="235"/>
      <c r="H57" s="235"/>
      <c r="I57" s="235"/>
      <c r="J57" s="235"/>
      <c r="K57" s="235"/>
      <c r="L57" s="235"/>
      <c r="M57" s="235"/>
      <c r="N57" s="235"/>
      <c r="O57" s="235"/>
      <c r="P57" s="235"/>
      <c r="Q57" s="235"/>
      <c r="R57" s="235"/>
      <c r="S57" s="235"/>
      <c r="T57" s="235"/>
      <c r="U57" s="235"/>
      <c r="V57" s="235"/>
      <c r="W57" s="235"/>
      <c r="X57" s="235"/>
      <c r="Y57" s="6"/>
      <c r="Z57" s="6"/>
    </row>
    <row r="58" ht="57.0" customHeight="1">
      <c r="A58" s="51" t="str">
        <f>'HECVAT - Full'!A58</f>
        <v>CONS-07</v>
      </c>
      <c r="B58" s="51" t="str">
        <f>VLOOKUP(A58,'HECVAT - Full'!A$24:B$312,2,FALSE)</f>
        <v>Is it encrypted (at rest) while in the consultant's possession?</v>
      </c>
      <c r="C58" s="244" t="s">
        <v>1246</v>
      </c>
      <c r="D58" s="245" t="s">
        <v>1247</v>
      </c>
      <c r="E58" s="246"/>
      <c r="F58" s="247"/>
      <c r="G58" s="247"/>
      <c r="H58" s="247"/>
      <c r="I58" s="247"/>
      <c r="J58" s="247"/>
      <c r="K58" s="247"/>
      <c r="L58" s="247"/>
      <c r="M58" s="247"/>
      <c r="N58" s="247"/>
      <c r="O58" s="247"/>
      <c r="P58" s="247"/>
      <c r="Q58" s="247"/>
      <c r="R58" s="247"/>
      <c r="S58" s="247"/>
      <c r="T58" s="247"/>
      <c r="U58" s="247"/>
      <c r="V58" s="247"/>
      <c r="W58" s="247"/>
      <c r="X58" s="247"/>
      <c r="Y58" s="6"/>
      <c r="Z58" s="6"/>
    </row>
    <row r="59" ht="99.75" customHeight="1">
      <c r="A59" s="51" t="str">
        <f>'HECVAT - Full'!A59</f>
        <v>CONS-08</v>
      </c>
      <c r="B59" s="62" t="str">
        <f>VLOOKUP(A59,'HECVAT - Full'!A$24:B$312,2,FALSE)</f>
        <v>Will the consultant need remote access to the Institution's network or systems?</v>
      </c>
      <c r="C59" s="32" t="s">
        <v>1248</v>
      </c>
      <c r="D59" s="32" t="s">
        <v>1249</v>
      </c>
      <c r="E59" s="234"/>
      <c r="F59" s="235"/>
      <c r="G59" s="235"/>
      <c r="H59" s="235"/>
      <c r="I59" s="235"/>
      <c r="J59" s="235"/>
      <c r="K59" s="235"/>
      <c r="L59" s="235"/>
      <c r="M59" s="235"/>
      <c r="N59" s="235"/>
      <c r="O59" s="235"/>
      <c r="P59" s="235"/>
      <c r="Q59" s="235"/>
      <c r="R59" s="235"/>
      <c r="S59" s="235"/>
      <c r="T59" s="235"/>
      <c r="U59" s="235"/>
      <c r="V59" s="235"/>
      <c r="W59" s="235"/>
      <c r="X59" s="235"/>
      <c r="Y59" s="6"/>
      <c r="Z59" s="6"/>
    </row>
    <row r="60" ht="114.0" customHeight="1">
      <c r="A60" s="51" t="str">
        <f>'HECVAT - Full'!A60</f>
        <v>CONS-09</v>
      </c>
      <c r="B60" s="51" t="str">
        <f>VLOOKUP(A60,'HECVAT - Full'!A$24:B$312,2,FALSE)</f>
        <v>Can we restrict that access based on source IP address?</v>
      </c>
      <c r="C60" s="244" t="s">
        <v>1250</v>
      </c>
      <c r="D60" s="245" t="s">
        <v>1251</v>
      </c>
      <c r="E60" s="246"/>
      <c r="F60" s="247"/>
      <c r="G60" s="247"/>
      <c r="H60" s="247"/>
      <c r="I60" s="247"/>
      <c r="J60" s="247"/>
      <c r="K60" s="247"/>
      <c r="L60" s="247"/>
      <c r="M60" s="247"/>
      <c r="N60" s="247"/>
      <c r="O60" s="247"/>
      <c r="P60" s="247"/>
      <c r="Q60" s="247"/>
      <c r="R60" s="247"/>
      <c r="S60" s="247"/>
      <c r="T60" s="247"/>
      <c r="U60" s="247"/>
      <c r="V60" s="247"/>
      <c r="W60" s="247"/>
      <c r="X60" s="247"/>
      <c r="Y60" s="6"/>
      <c r="Z60" s="6"/>
    </row>
    <row r="61" ht="36.0" customHeight="1">
      <c r="A61" s="45" t="str">
        <f>IF($C$30="","Application/Service Security",IF($C$30="Yes","App/Service Security - Optional based on QUALIFIER response.","Application/Service Security"))</f>
        <v>Application/Service Security</v>
      </c>
      <c r="B61" s="14"/>
      <c r="C61" s="60" t="str">
        <f>$C$22</f>
        <v>Reason for Question</v>
      </c>
      <c r="D61" s="60" t="str">
        <f>$D$22</f>
        <v>Follow-up Inquiries/Responses</v>
      </c>
      <c r="E61" s="234"/>
      <c r="F61" s="235"/>
      <c r="G61" s="235"/>
      <c r="H61" s="235"/>
      <c r="I61" s="235"/>
      <c r="J61" s="235"/>
      <c r="K61" s="235"/>
      <c r="L61" s="235"/>
      <c r="M61" s="235"/>
      <c r="N61" s="235"/>
      <c r="O61" s="235"/>
      <c r="P61" s="235"/>
      <c r="Q61" s="235"/>
      <c r="R61" s="235"/>
      <c r="S61" s="235"/>
      <c r="T61" s="235"/>
      <c r="U61" s="235"/>
      <c r="V61" s="235"/>
      <c r="W61" s="235"/>
      <c r="X61" s="235"/>
      <c r="Y61" s="6"/>
      <c r="Z61" s="6"/>
    </row>
    <row r="62" ht="114.0" customHeight="1">
      <c r="A62" s="51" t="str">
        <f>'HECVAT - Full'!A62</f>
        <v>APPL-01</v>
      </c>
      <c r="B62" s="62" t="str">
        <f>VLOOKUP(A62,'HECVAT - Full'!A$24:B$312,2,FALSE)</f>
        <v>Do you support role-based access control (RBAC) for end-users?</v>
      </c>
      <c r="C62" s="32" t="s">
        <v>1252</v>
      </c>
      <c r="D62" s="32" t="s">
        <v>1253</v>
      </c>
      <c r="E62" s="234"/>
      <c r="F62" s="235"/>
      <c r="G62" s="235"/>
      <c r="H62" s="235"/>
      <c r="I62" s="235"/>
      <c r="J62" s="235"/>
      <c r="K62" s="235"/>
      <c r="L62" s="235"/>
      <c r="M62" s="235"/>
      <c r="N62" s="235"/>
      <c r="O62" s="235"/>
      <c r="P62" s="235"/>
      <c r="Q62" s="235"/>
      <c r="R62" s="235"/>
      <c r="S62" s="235"/>
      <c r="T62" s="235"/>
      <c r="U62" s="235"/>
      <c r="V62" s="235"/>
      <c r="W62" s="235"/>
      <c r="X62" s="235"/>
      <c r="Y62" s="6"/>
      <c r="Z62" s="6"/>
    </row>
    <row r="63" ht="111.75" customHeight="1">
      <c r="A63" s="51" t="str">
        <f>'HECVAT - Full'!A63</f>
        <v>APPL-02</v>
      </c>
      <c r="B63" s="62" t="str">
        <f>VLOOKUP(A63,'HECVAT - Full'!A$24:B$312,2,FALSE)</f>
        <v>Do you support role-based access control (RBAC) for system administrators?</v>
      </c>
      <c r="C63" s="32" t="s">
        <v>1254</v>
      </c>
      <c r="D63" s="32" t="s">
        <v>1255</v>
      </c>
      <c r="E63" s="234"/>
      <c r="F63" s="235"/>
      <c r="G63" s="235"/>
      <c r="H63" s="235"/>
      <c r="I63" s="235"/>
      <c r="J63" s="235"/>
      <c r="K63" s="235"/>
      <c r="L63" s="235"/>
      <c r="M63" s="235"/>
      <c r="N63" s="235"/>
      <c r="O63" s="235"/>
      <c r="P63" s="235"/>
      <c r="Q63" s="235"/>
      <c r="R63" s="235"/>
      <c r="S63" s="235"/>
      <c r="T63" s="235"/>
      <c r="U63" s="235"/>
      <c r="V63" s="235"/>
      <c r="W63" s="235"/>
      <c r="X63" s="235"/>
      <c r="Y63" s="6"/>
      <c r="Z63" s="6"/>
    </row>
    <row r="64" ht="111.75" customHeight="1">
      <c r="A64" s="51" t="str">
        <f>'HECVAT - Full'!A64</f>
        <v>APPL-03</v>
      </c>
      <c r="B64" s="62" t="str">
        <f>VLOOKUP(A64,'HECVAT - Full'!A$24:B$312,2,FALSE)</f>
        <v>Can employees access customer data remotely?</v>
      </c>
      <c r="C64" s="32" t="s">
        <v>1248</v>
      </c>
      <c r="D64" s="32" t="s">
        <v>1249</v>
      </c>
      <c r="E64" s="234"/>
      <c r="F64" s="235"/>
      <c r="G64" s="235"/>
      <c r="H64" s="235"/>
      <c r="I64" s="235"/>
      <c r="J64" s="235"/>
      <c r="K64" s="235"/>
      <c r="L64" s="235"/>
      <c r="M64" s="235"/>
      <c r="N64" s="235"/>
      <c r="O64" s="235"/>
      <c r="P64" s="235"/>
      <c r="Q64" s="235"/>
      <c r="R64" s="235"/>
      <c r="S64" s="235"/>
      <c r="T64" s="235"/>
      <c r="U64" s="235"/>
      <c r="V64" s="235"/>
      <c r="W64" s="235"/>
      <c r="X64" s="235"/>
      <c r="Y64" s="6"/>
      <c r="Z64" s="6"/>
    </row>
    <row r="65" ht="111.75" customHeight="1">
      <c r="A65" s="51" t="str">
        <f>'HECVAT - Full'!A65</f>
        <v>APPL-04</v>
      </c>
      <c r="B65" s="62" t="str">
        <f>VLOOKUP(A65,'HECVAT - Full'!A$24:B$312,2,FALSE)</f>
        <v>Can you provide overall system and/or application architecture diagrams including a full description of the data communications architecture for all components of the system?</v>
      </c>
      <c r="C65" s="32" t="s">
        <v>1256</v>
      </c>
      <c r="D65" s="32" t="s">
        <v>1257</v>
      </c>
      <c r="E65" s="234"/>
      <c r="F65" s="235"/>
      <c r="G65" s="235"/>
      <c r="H65" s="235"/>
      <c r="I65" s="235"/>
      <c r="J65" s="235"/>
      <c r="K65" s="235"/>
      <c r="L65" s="235"/>
      <c r="M65" s="235"/>
      <c r="N65" s="235"/>
      <c r="O65" s="235"/>
      <c r="P65" s="235"/>
      <c r="Q65" s="235"/>
      <c r="R65" s="235"/>
      <c r="S65" s="235"/>
      <c r="T65" s="235"/>
      <c r="U65" s="235"/>
      <c r="V65" s="235"/>
      <c r="W65" s="235"/>
      <c r="X65" s="235"/>
      <c r="Y65" s="6"/>
      <c r="Z65" s="6"/>
    </row>
    <row r="66" ht="111.75" customHeight="1">
      <c r="A66" s="51" t="str">
        <f>'HECVAT - Full'!A66</f>
        <v>APPL-05</v>
      </c>
      <c r="B66" s="62" t="str">
        <f>VLOOKUP(A66,'HECVAT - Full'!A$24:B$312,2,FALSE)</f>
        <v>Does the system provide data input validation and error messages? </v>
      </c>
      <c r="C66" s="32" t="s">
        <v>1258</v>
      </c>
      <c r="D66" s="32" t="s">
        <v>1259</v>
      </c>
      <c r="E66" s="234"/>
      <c r="F66" s="235"/>
      <c r="G66" s="235"/>
      <c r="H66" s="235"/>
      <c r="I66" s="235"/>
      <c r="J66" s="235"/>
      <c r="K66" s="235"/>
      <c r="L66" s="235"/>
      <c r="M66" s="235"/>
      <c r="N66" s="235"/>
      <c r="O66" s="235"/>
      <c r="P66" s="235"/>
      <c r="Q66" s="235"/>
      <c r="R66" s="235"/>
      <c r="S66" s="235"/>
      <c r="T66" s="235"/>
      <c r="U66" s="235"/>
      <c r="V66" s="235"/>
      <c r="W66" s="235"/>
      <c r="X66" s="235"/>
      <c r="Y66" s="6"/>
      <c r="Z66" s="6"/>
    </row>
    <row r="67" ht="135.75" customHeight="1">
      <c r="A67" s="51" t="str">
        <f>'HECVAT - Full'!A67</f>
        <v>APPL-06</v>
      </c>
      <c r="B67" s="62" t="str">
        <f>VLOOKUP(A67,'HECVAT - Full'!A$24:B$312,2,FALSE)</f>
        <v>Do you employ a single-tenant environment? </v>
      </c>
      <c r="C67" s="32" t="s">
        <v>1260</v>
      </c>
      <c r="D67" s="32" t="s">
        <v>1261</v>
      </c>
      <c r="E67" s="234"/>
      <c r="F67" s="235"/>
      <c r="G67" s="235"/>
      <c r="H67" s="235"/>
      <c r="I67" s="235"/>
      <c r="J67" s="235"/>
      <c r="K67" s="235"/>
      <c r="L67" s="235"/>
      <c r="M67" s="235"/>
      <c r="N67" s="235"/>
      <c r="O67" s="235"/>
      <c r="P67" s="235"/>
      <c r="Q67" s="235"/>
      <c r="R67" s="235"/>
      <c r="S67" s="235"/>
      <c r="T67" s="235"/>
      <c r="U67" s="235"/>
      <c r="V67" s="235"/>
      <c r="W67" s="235"/>
      <c r="X67" s="235"/>
      <c r="Y67" s="6"/>
      <c r="Z67" s="6"/>
    </row>
    <row r="68" ht="91.5" customHeight="1">
      <c r="A68" s="51" t="str">
        <f>'HECVAT - Full'!A68</f>
        <v>APPL-07</v>
      </c>
      <c r="B68" s="51" t="str">
        <f>VLOOKUP(A68,'HECVAT - Full'!A$24:B$312,2,FALSE)</f>
        <v>What operating system(s) is/are leveraged by the system(s)/application(s) that will have access to institution's data?</v>
      </c>
      <c r="C68" s="244" t="s">
        <v>1262</v>
      </c>
      <c r="D68" s="245" t="s">
        <v>1263</v>
      </c>
      <c r="E68" s="246"/>
      <c r="F68" s="247"/>
      <c r="G68" s="247"/>
      <c r="H68" s="247"/>
      <c r="I68" s="247"/>
      <c r="J68" s="247"/>
      <c r="K68" s="247"/>
      <c r="L68" s="247"/>
      <c r="M68" s="247"/>
      <c r="N68" s="247"/>
      <c r="O68" s="247"/>
      <c r="P68" s="247"/>
      <c r="Q68" s="247"/>
      <c r="R68" s="247"/>
      <c r="S68" s="247"/>
      <c r="T68" s="247"/>
      <c r="U68" s="247"/>
      <c r="V68" s="247"/>
      <c r="W68" s="247"/>
      <c r="X68" s="247"/>
      <c r="Y68" s="6"/>
      <c r="Z68" s="6"/>
    </row>
    <row r="69" ht="84.0" customHeight="1">
      <c r="A69" s="51" t="str">
        <f>'HECVAT - Full'!A69</f>
        <v>APPL-08</v>
      </c>
      <c r="B69" s="62" t="str">
        <f>VLOOKUP(A69,'HECVAT - Full'!A$24:B$312,2,FALSE)</f>
        <v>Have you or any third party you contract with that may have access or allow access to the institution's data experienced a breach?</v>
      </c>
      <c r="C69" s="32" t="s">
        <v>1219</v>
      </c>
      <c r="D69" s="32" t="s">
        <v>1220</v>
      </c>
      <c r="E69" s="234"/>
      <c r="F69" s="235"/>
      <c r="G69" s="235"/>
      <c r="H69" s="235"/>
      <c r="I69" s="235"/>
      <c r="J69" s="235"/>
      <c r="K69" s="235"/>
      <c r="L69" s="235"/>
      <c r="M69" s="235"/>
      <c r="N69" s="235"/>
      <c r="O69" s="235"/>
      <c r="P69" s="235"/>
      <c r="Q69" s="235"/>
      <c r="R69" s="235"/>
      <c r="S69" s="235"/>
      <c r="T69" s="235"/>
      <c r="U69" s="235"/>
      <c r="V69" s="235"/>
      <c r="W69" s="235"/>
      <c r="X69" s="235"/>
      <c r="Y69" s="6"/>
      <c r="Z69" s="6"/>
    </row>
    <row r="70" ht="114.0" customHeight="1">
      <c r="A70" s="51" t="str">
        <f>'HECVAT - Full'!A70</f>
        <v>APPL-09</v>
      </c>
      <c r="B70" s="62" t="str">
        <f>VLOOKUP(A70,'HECVAT - Full'!A$24:B$312,2,FALSE)</f>
        <v>Describe or provide a reference to additional software/products necessary to implement a functional system on either the backend or user-interface side of the system. </v>
      </c>
      <c r="C70" s="32" t="s">
        <v>1264</v>
      </c>
      <c r="D70" s="32" t="s">
        <v>1265</v>
      </c>
      <c r="E70" s="234"/>
      <c r="F70" s="235"/>
      <c r="G70" s="235"/>
      <c r="H70" s="235"/>
      <c r="I70" s="235"/>
      <c r="J70" s="235"/>
      <c r="K70" s="235"/>
      <c r="L70" s="235"/>
      <c r="M70" s="235"/>
      <c r="N70" s="235"/>
      <c r="O70" s="235"/>
      <c r="P70" s="235"/>
      <c r="Q70" s="235"/>
      <c r="R70" s="235"/>
      <c r="S70" s="235"/>
      <c r="T70" s="235"/>
      <c r="U70" s="235"/>
      <c r="V70" s="235"/>
      <c r="W70" s="235"/>
      <c r="X70" s="235"/>
      <c r="Y70" s="6"/>
      <c r="Z70" s="6"/>
    </row>
    <row r="71" ht="99.75" customHeight="1">
      <c r="A71" s="51" t="str">
        <f>'HECVAT - Full'!A71</f>
        <v>APPL-10</v>
      </c>
      <c r="B71" s="62" t="str">
        <f>VLOOKUP(A71,'HECVAT - Full'!A$24:B$312,2,FALSE)</f>
        <v>Describe or provide a reference to the overall system and/or application architecture(s), including appropriate diagrams. Include a full description of the data communications architecture for all components of the system. </v>
      </c>
      <c r="C71" s="32" t="s">
        <v>1266</v>
      </c>
      <c r="D71" s="32" t="s">
        <v>1267</v>
      </c>
      <c r="E71" s="234"/>
      <c r="F71" s="235"/>
      <c r="G71" s="235"/>
      <c r="H71" s="235"/>
      <c r="I71" s="235"/>
      <c r="J71" s="235"/>
      <c r="K71" s="235"/>
      <c r="L71" s="235"/>
      <c r="M71" s="235"/>
      <c r="N71" s="235"/>
      <c r="O71" s="235"/>
      <c r="P71" s="235"/>
      <c r="Q71" s="235"/>
      <c r="R71" s="235"/>
      <c r="S71" s="235"/>
      <c r="T71" s="235"/>
      <c r="U71" s="235"/>
      <c r="V71" s="235"/>
      <c r="W71" s="235"/>
      <c r="X71" s="235"/>
      <c r="Y71" s="6"/>
      <c r="Z71" s="6"/>
    </row>
    <row r="72" ht="67.5" customHeight="1">
      <c r="A72" s="51" t="str">
        <f>'HECVAT - Full'!A72</f>
        <v>APPL-11</v>
      </c>
      <c r="B72" s="62" t="str">
        <f>VLOOKUP(A72,'HECVAT - Full'!A$24:B$312,2,FALSE)</f>
        <v>Are databases used in the system segregated from front-end systems? (e.g. web and application servers)</v>
      </c>
      <c r="C72" s="32" t="s">
        <v>1268</v>
      </c>
      <c r="D72" s="32" t="s">
        <v>1269</v>
      </c>
      <c r="E72" s="234"/>
      <c r="F72" s="235"/>
      <c r="G72" s="235"/>
      <c r="H72" s="235"/>
      <c r="I72" s="235"/>
      <c r="J72" s="235"/>
      <c r="K72" s="235"/>
      <c r="L72" s="235"/>
      <c r="M72" s="235"/>
      <c r="N72" s="235"/>
      <c r="O72" s="235"/>
      <c r="P72" s="235"/>
      <c r="Q72" s="235"/>
      <c r="R72" s="235"/>
      <c r="S72" s="235"/>
      <c r="T72" s="235"/>
      <c r="U72" s="235"/>
      <c r="V72" s="235"/>
      <c r="W72" s="235"/>
      <c r="X72" s="235"/>
      <c r="Y72" s="6"/>
      <c r="Z72" s="6"/>
    </row>
    <row r="73" ht="114.75" customHeight="1">
      <c r="A73" s="51" t="str">
        <f>'HECVAT - Full'!A73</f>
        <v>APPL-12</v>
      </c>
      <c r="B73" s="62" t="str">
        <f>VLOOKUP(A73,'HECVAT - Full'!A$24:B$312,2,FALSE)</f>
        <v>Describe or provide a reference to all web-enabled features and functionality of the system (i.e. accessed via a web-based interface). </v>
      </c>
      <c r="C73" s="32" t="s">
        <v>1270</v>
      </c>
      <c r="D73" s="32" t="s">
        <v>1271</v>
      </c>
      <c r="E73" s="234"/>
      <c r="F73" s="235"/>
      <c r="G73" s="235"/>
      <c r="H73" s="235"/>
      <c r="I73" s="235"/>
      <c r="J73" s="235"/>
      <c r="K73" s="235"/>
      <c r="L73" s="235"/>
      <c r="M73" s="235"/>
      <c r="N73" s="235"/>
      <c r="O73" s="235"/>
      <c r="P73" s="235"/>
      <c r="Q73" s="235"/>
      <c r="R73" s="235"/>
      <c r="S73" s="235"/>
      <c r="T73" s="235"/>
      <c r="U73" s="235"/>
      <c r="V73" s="235"/>
      <c r="W73" s="235"/>
      <c r="X73" s="235"/>
      <c r="Y73" s="6"/>
      <c r="Z73" s="6"/>
    </row>
    <row r="74" ht="64.5" customHeight="1">
      <c r="A74" s="51" t="str">
        <f>'HECVAT - Full'!A74</f>
        <v>APPL-13</v>
      </c>
      <c r="B74" s="62" t="str">
        <f>VLOOKUP(A74,'HECVAT - Full'!A$24:B$312,2,FALSE)</f>
        <v>Are there any OS and/or web-browser combinations that are not currently supported?</v>
      </c>
      <c r="C74" s="32" t="s">
        <v>1272</v>
      </c>
      <c r="D74" s="32" t="s">
        <v>1273</v>
      </c>
      <c r="E74" s="234"/>
      <c r="F74" s="235"/>
      <c r="G74" s="235"/>
      <c r="H74" s="235"/>
      <c r="I74" s="235"/>
      <c r="J74" s="235"/>
      <c r="K74" s="235"/>
      <c r="L74" s="235"/>
      <c r="M74" s="235"/>
      <c r="N74" s="235"/>
      <c r="O74" s="235"/>
      <c r="P74" s="235"/>
      <c r="Q74" s="235"/>
      <c r="R74" s="235"/>
      <c r="S74" s="235"/>
      <c r="T74" s="235"/>
      <c r="U74" s="235"/>
      <c r="V74" s="235"/>
      <c r="W74" s="235"/>
      <c r="X74" s="235"/>
      <c r="Y74" s="6"/>
      <c r="Z74" s="6"/>
    </row>
    <row r="75" ht="63.0" customHeight="1">
      <c r="A75" s="51" t="str">
        <f>'HECVAT - Full'!A75</f>
        <v>APPL-14</v>
      </c>
      <c r="B75" s="62" t="str">
        <f>VLOOKUP(A75,'HECVAT - Full'!A$24:B$312,2,FALSE)</f>
        <v>Can your system take advantage of mobile and/or GPS enabled mobile devices?  </v>
      </c>
      <c r="C75" s="32" t="s">
        <v>1274</v>
      </c>
      <c r="D75" s="32" t="s">
        <v>1275</v>
      </c>
      <c r="E75" s="234"/>
      <c r="F75" s="235"/>
      <c r="G75" s="235"/>
      <c r="H75" s="235"/>
      <c r="I75" s="235"/>
      <c r="J75" s="235"/>
      <c r="K75" s="235"/>
      <c r="L75" s="235"/>
      <c r="M75" s="235"/>
      <c r="N75" s="235"/>
      <c r="O75" s="235"/>
      <c r="P75" s="235"/>
      <c r="Q75" s="235"/>
      <c r="R75" s="235"/>
      <c r="S75" s="235"/>
      <c r="T75" s="235"/>
      <c r="U75" s="235"/>
      <c r="V75" s="235"/>
      <c r="W75" s="235"/>
      <c r="X75" s="235"/>
      <c r="Y75" s="6"/>
      <c r="Z75" s="6"/>
    </row>
    <row r="76" ht="128.25" customHeight="1">
      <c r="A76" s="51" t="str">
        <f>'HECVAT - Full'!A76</f>
        <v>APPL-15</v>
      </c>
      <c r="B76" s="62" t="str">
        <f>VLOOKUP(A76,'HECVAT - Full'!A$24:B$312,2,FALSE)</f>
        <v>Describe or provide a reference to the facilities available in the system to provide separation of duties between security administration and system administration functions.</v>
      </c>
      <c r="C76" s="32" t="s">
        <v>1276</v>
      </c>
      <c r="D76" s="32" t="s">
        <v>1255</v>
      </c>
      <c r="E76" s="234"/>
      <c r="F76" s="235"/>
      <c r="G76" s="235"/>
      <c r="H76" s="235"/>
      <c r="I76" s="235"/>
      <c r="J76" s="235"/>
      <c r="K76" s="235"/>
      <c r="L76" s="235"/>
      <c r="M76" s="235"/>
      <c r="N76" s="235"/>
      <c r="O76" s="235"/>
      <c r="P76" s="235"/>
      <c r="Q76" s="235"/>
      <c r="R76" s="235"/>
      <c r="S76" s="235"/>
      <c r="T76" s="235"/>
      <c r="U76" s="235"/>
      <c r="V76" s="235"/>
      <c r="W76" s="235"/>
      <c r="X76" s="235"/>
      <c r="Y76" s="6"/>
      <c r="Z76" s="6"/>
    </row>
    <row r="77" ht="99.75" customHeight="1">
      <c r="A77" s="51" t="str">
        <f>'HECVAT - Full'!A77</f>
        <v>APPL-16</v>
      </c>
      <c r="B77" s="62" t="str">
        <f>VLOOKUP(A77,'HECVAT - Full'!A$24:B$312,2,FALSE)</f>
        <v>Describe or provide a reference that details how administrator access is handled (e.g. provisioning, principle of least privilege, deprovisioning, etc.)</v>
      </c>
      <c r="C77" s="32" t="s">
        <v>1277</v>
      </c>
      <c r="D77" s="32" t="s">
        <v>1278</v>
      </c>
      <c r="E77" s="234"/>
      <c r="F77" s="235"/>
      <c r="G77" s="235"/>
      <c r="H77" s="235"/>
      <c r="I77" s="235"/>
      <c r="J77" s="235"/>
      <c r="K77" s="235"/>
      <c r="L77" s="235"/>
      <c r="M77" s="235"/>
      <c r="N77" s="235"/>
      <c r="O77" s="235"/>
      <c r="P77" s="235"/>
      <c r="Q77" s="235"/>
      <c r="R77" s="235"/>
      <c r="S77" s="235"/>
      <c r="T77" s="235"/>
      <c r="U77" s="235"/>
      <c r="V77" s="235"/>
      <c r="W77" s="235"/>
      <c r="X77" s="235"/>
      <c r="Y77" s="6"/>
      <c r="Z77" s="6"/>
    </row>
    <row r="78" ht="64.5" customHeight="1">
      <c r="A78" s="51" t="str">
        <f>'HECVAT - Full'!A78</f>
        <v>APPL-17</v>
      </c>
      <c r="B78" s="62" t="str">
        <f>VLOOKUP(A78,'HECVAT - Full'!A$24:B$312,2,FALSE)</f>
        <v>Describe or provide references explaining how tertiary services are redundant (i.e. DNS, ISP, etc.).</v>
      </c>
      <c r="C78" s="32" t="s">
        <v>1279</v>
      </c>
      <c r="D78" s="32" t="s">
        <v>1280</v>
      </c>
      <c r="E78" s="234"/>
      <c r="F78" s="235"/>
      <c r="G78" s="235"/>
      <c r="H78" s="235"/>
      <c r="I78" s="235"/>
      <c r="J78" s="235"/>
      <c r="K78" s="235"/>
      <c r="L78" s="235"/>
      <c r="M78" s="235"/>
      <c r="N78" s="235"/>
      <c r="O78" s="235"/>
      <c r="P78" s="235"/>
      <c r="Q78" s="235"/>
      <c r="R78" s="235"/>
      <c r="S78" s="235"/>
      <c r="T78" s="235"/>
      <c r="U78" s="235"/>
      <c r="V78" s="235"/>
      <c r="W78" s="235"/>
      <c r="X78" s="235"/>
      <c r="Y78" s="6"/>
      <c r="Z78" s="6"/>
    </row>
    <row r="79" ht="36.0" customHeight="1">
      <c r="A79" s="45" t="str">
        <f>IF($C$30="","Authentication, Authorization, and Accounting",IF($C$30="Yes","AAA - Optional based on QUALIFIER response.","Authentication, Authorization, and Accounting"))</f>
        <v>Authentication, Authorization, and Accounting</v>
      </c>
      <c r="B79" s="14"/>
      <c r="C79" s="60" t="str">
        <f>$C$22</f>
        <v>Reason for Question</v>
      </c>
      <c r="D79" s="60" t="str">
        <f>$D$22</f>
        <v>Follow-up Inquiries/Responses</v>
      </c>
      <c r="E79" s="234"/>
      <c r="F79" s="235"/>
      <c r="G79" s="235"/>
      <c r="H79" s="235"/>
      <c r="I79" s="235"/>
      <c r="J79" s="235"/>
      <c r="K79" s="235"/>
      <c r="L79" s="235"/>
      <c r="M79" s="235"/>
      <c r="N79" s="235"/>
      <c r="O79" s="235"/>
      <c r="P79" s="235"/>
      <c r="Q79" s="235"/>
      <c r="R79" s="235"/>
      <c r="S79" s="235"/>
      <c r="T79" s="235"/>
      <c r="U79" s="235"/>
      <c r="V79" s="235"/>
      <c r="W79" s="235"/>
      <c r="X79" s="235"/>
      <c r="Y79" s="6"/>
      <c r="Z79" s="6"/>
    </row>
    <row r="80" ht="111.75" customHeight="1">
      <c r="A80" s="51" t="str">
        <f>'HECVAT - Full'!A80</f>
        <v>AAAI-01</v>
      </c>
      <c r="B80" s="62" t="str">
        <f>VLOOKUP(A80,'HECVAT - Full'!A$24:B$312,2,FALSE)</f>
        <v>Can you enforce password/passphrase aging requirements?</v>
      </c>
      <c r="C80" s="32" t="s">
        <v>1281</v>
      </c>
      <c r="D80" s="32" t="s">
        <v>1282</v>
      </c>
      <c r="E80" s="234"/>
      <c r="F80" s="235"/>
      <c r="G80" s="235"/>
      <c r="H80" s="235"/>
      <c r="I80" s="235"/>
      <c r="J80" s="235"/>
      <c r="K80" s="235"/>
      <c r="L80" s="235"/>
      <c r="M80" s="235"/>
      <c r="N80" s="235"/>
      <c r="O80" s="235"/>
      <c r="P80" s="235"/>
      <c r="Q80" s="235"/>
      <c r="R80" s="235"/>
      <c r="S80" s="235"/>
      <c r="T80" s="235"/>
      <c r="U80" s="235"/>
      <c r="V80" s="235"/>
      <c r="W80" s="235"/>
      <c r="X80" s="235"/>
      <c r="Y80" s="6"/>
      <c r="Z80" s="6"/>
    </row>
    <row r="81" ht="57.0" customHeight="1">
      <c r="A81" s="51" t="str">
        <f>'HECVAT - Full'!A81</f>
        <v>AAAI-02</v>
      </c>
      <c r="B81" s="62" t="str">
        <f>VLOOKUP(A81,'HECVAT - Full'!A$24:B$312,2,FALSE)</f>
        <v>Can you enforce password/passphrase complexity requirements [provided by the institution]?</v>
      </c>
      <c r="C81" s="32" t="s">
        <v>1283</v>
      </c>
      <c r="D81" s="32" t="s">
        <v>1284</v>
      </c>
      <c r="E81" s="234"/>
      <c r="F81" s="235"/>
      <c r="G81" s="235"/>
      <c r="H81" s="235"/>
      <c r="I81" s="235"/>
      <c r="J81" s="235"/>
      <c r="K81" s="235"/>
      <c r="L81" s="235"/>
      <c r="M81" s="235"/>
      <c r="N81" s="235"/>
      <c r="O81" s="235"/>
      <c r="P81" s="235"/>
      <c r="Q81" s="235"/>
      <c r="R81" s="235"/>
      <c r="S81" s="235"/>
      <c r="T81" s="235"/>
      <c r="U81" s="235"/>
      <c r="V81" s="235"/>
      <c r="W81" s="235"/>
      <c r="X81" s="235"/>
      <c r="Y81" s="6"/>
      <c r="Z81" s="6"/>
    </row>
    <row r="82" ht="57.0" customHeight="1">
      <c r="A82" s="51" t="str">
        <f>'HECVAT - Full'!A82</f>
        <v>AAAI-03</v>
      </c>
      <c r="B82" s="62" t="str">
        <f>VLOOKUP(A82,'HECVAT - Full'!A$24:B$312,2,FALSE)</f>
        <v>Does the system have password complexity or length limitations and/or restrictions?</v>
      </c>
      <c r="C82" s="32" t="s">
        <v>1283</v>
      </c>
      <c r="D82" s="32" t="s">
        <v>1285</v>
      </c>
      <c r="E82" s="234"/>
      <c r="F82" s="235"/>
      <c r="G82" s="235"/>
      <c r="H82" s="235"/>
      <c r="I82" s="235"/>
      <c r="J82" s="235"/>
      <c r="K82" s="235"/>
      <c r="L82" s="235"/>
      <c r="M82" s="235"/>
      <c r="N82" s="235"/>
      <c r="O82" s="235"/>
      <c r="P82" s="235"/>
      <c r="Q82" s="235"/>
      <c r="R82" s="235"/>
      <c r="S82" s="235"/>
      <c r="T82" s="235"/>
      <c r="U82" s="235"/>
      <c r="V82" s="235"/>
      <c r="W82" s="235"/>
      <c r="X82" s="235"/>
      <c r="Y82" s="6"/>
      <c r="Z82" s="6"/>
    </row>
    <row r="83" ht="57.0" customHeight="1">
      <c r="A83" s="51" t="str">
        <f>'HECVAT - Full'!A83</f>
        <v>AAAI-04</v>
      </c>
      <c r="B83" s="62" t="str">
        <f>VLOOKUP(A83,'HECVAT - Full'!A$24:B$312,2,FALSE)</f>
        <v>Do you have documented password/passphrase reset procedures that are currently implemented in the system and/or customer support?</v>
      </c>
      <c r="C83" s="32" t="s">
        <v>1286</v>
      </c>
      <c r="D83" s="32" t="s">
        <v>1287</v>
      </c>
      <c r="E83" s="234"/>
      <c r="F83" s="235"/>
      <c r="G83" s="235"/>
      <c r="H83" s="235"/>
      <c r="I83" s="235"/>
      <c r="J83" s="235"/>
      <c r="K83" s="235"/>
      <c r="L83" s="235"/>
      <c r="M83" s="235"/>
      <c r="N83" s="235"/>
      <c r="O83" s="235"/>
      <c r="P83" s="235"/>
      <c r="Q83" s="235"/>
      <c r="R83" s="235"/>
      <c r="S83" s="235"/>
      <c r="T83" s="235"/>
      <c r="U83" s="235"/>
      <c r="V83" s="235"/>
      <c r="W83" s="235"/>
      <c r="X83" s="235"/>
      <c r="Y83" s="6"/>
      <c r="Z83" s="6"/>
    </row>
    <row r="84" ht="111.75" customHeight="1">
      <c r="A84" s="51" t="str">
        <f>'HECVAT - Full'!A84</f>
        <v>AAAI-05</v>
      </c>
      <c r="B84" s="62" t="str">
        <f>VLOOKUP(A84,'HECVAT - Full'!A$24:B$312,2,FALSE)</f>
        <v>Does your web-based interface support authentication, including standards-based single-sign-on? (e.g. InCommon)</v>
      </c>
      <c r="C84" s="32" t="s">
        <v>1288</v>
      </c>
      <c r="D84" s="32" t="s">
        <v>1289</v>
      </c>
      <c r="E84" s="234"/>
      <c r="F84" s="235"/>
      <c r="G84" s="235"/>
      <c r="H84" s="235"/>
      <c r="I84" s="235"/>
      <c r="J84" s="235"/>
      <c r="K84" s="235"/>
      <c r="L84" s="235"/>
      <c r="M84" s="235"/>
      <c r="N84" s="235"/>
      <c r="O84" s="235"/>
      <c r="P84" s="235"/>
      <c r="Q84" s="235"/>
      <c r="R84" s="235"/>
      <c r="S84" s="235"/>
      <c r="T84" s="235"/>
      <c r="U84" s="235"/>
      <c r="V84" s="235"/>
      <c r="W84" s="235"/>
      <c r="X84" s="235"/>
      <c r="Y84" s="6"/>
      <c r="Z84" s="6"/>
    </row>
    <row r="85" ht="71.25" customHeight="1">
      <c r="A85" s="51" t="str">
        <f>'HECVAT - Full'!A85</f>
        <v>AAAI-06</v>
      </c>
      <c r="B85" s="62" t="str">
        <f>VLOOKUP(A85,'HECVAT - Full'!A$24:B$312,2,FALSE)</f>
        <v>Are there any passwords/passphrases hard coded into your systems or products?</v>
      </c>
      <c r="C85" s="32" t="s">
        <v>1290</v>
      </c>
      <c r="D85" s="32" t="s">
        <v>1291</v>
      </c>
      <c r="E85" s="234"/>
      <c r="F85" s="235"/>
      <c r="G85" s="235"/>
      <c r="H85" s="235"/>
      <c r="I85" s="235"/>
      <c r="J85" s="235"/>
      <c r="K85" s="235"/>
      <c r="L85" s="235"/>
      <c r="M85" s="235"/>
      <c r="N85" s="235"/>
      <c r="O85" s="235"/>
      <c r="P85" s="235"/>
      <c r="Q85" s="235"/>
      <c r="R85" s="235"/>
      <c r="S85" s="235"/>
      <c r="T85" s="235"/>
      <c r="U85" s="235"/>
      <c r="V85" s="235"/>
      <c r="W85" s="235"/>
      <c r="X85" s="235"/>
      <c r="Y85" s="6"/>
      <c r="Z85" s="6"/>
    </row>
    <row r="86" ht="71.25" customHeight="1">
      <c r="A86" s="51" t="str">
        <f>'HECVAT - Full'!A86</f>
        <v>AAAI-07</v>
      </c>
      <c r="B86" s="62" t="str">
        <f>VLOOKUP(A86,'HECVAT - Full'!A$24:B$312,2,FALSE)</f>
        <v>Are user account passwords/passphrases visible in administration modules?</v>
      </c>
      <c r="C86" s="32" t="s">
        <v>1292</v>
      </c>
      <c r="D86" s="32" t="s">
        <v>1293</v>
      </c>
      <c r="E86" s="234"/>
      <c r="F86" s="235"/>
      <c r="G86" s="235"/>
      <c r="H86" s="235"/>
      <c r="I86" s="235"/>
      <c r="J86" s="235"/>
      <c r="K86" s="235"/>
      <c r="L86" s="235"/>
      <c r="M86" s="235"/>
      <c r="N86" s="235"/>
      <c r="O86" s="235"/>
      <c r="P86" s="235"/>
      <c r="Q86" s="235"/>
      <c r="R86" s="235"/>
      <c r="S86" s="235"/>
      <c r="T86" s="235"/>
      <c r="U86" s="235"/>
      <c r="V86" s="235"/>
      <c r="W86" s="235"/>
      <c r="X86" s="235"/>
      <c r="Y86" s="6"/>
      <c r="Z86" s="6"/>
    </row>
    <row r="87" ht="42.75" customHeight="1">
      <c r="A87" s="51" t="str">
        <f>'HECVAT - Full'!A87</f>
        <v>AAAI-08</v>
      </c>
      <c r="B87" s="62" t="str">
        <f>VLOOKUP(A87,'HECVAT - Full'!A$24:B$312,2,FALSE)</f>
        <v>Are user account passwords/passphrases stored encrypted?</v>
      </c>
      <c r="C87" s="32" t="s">
        <v>1294</v>
      </c>
      <c r="D87" s="32" t="s">
        <v>1295</v>
      </c>
      <c r="E87" s="234"/>
      <c r="F87" s="235"/>
      <c r="G87" s="235"/>
      <c r="H87" s="235"/>
      <c r="I87" s="235"/>
      <c r="J87" s="235"/>
      <c r="K87" s="235"/>
      <c r="L87" s="235"/>
      <c r="M87" s="235"/>
      <c r="N87" s="235"/>
      <c r="O87" s="235"/>
      <c r="P87" s="235"/>
      <c r="Q87" s="235"/>
      <c r="R87" s="235"/>
      <c r="S87" s="235"/>
      <c r="T87" s="235"/>
      <c r="U87" s="235"/>
      <c r="V87" s="235"/>
      <c r="W87" s="235"/>
      <c r="X87" s="235"/>
      <c r="Y87" s="6"/>
      <c r="Z87" s="6"/>
    </row>
    <row r="88" ht="62.25" customHeight="1">
      <c r="A88" s="51" t="str">
        <f>'HECVAT - Full'!A88</f>
        <v>AAAI-09</v>
      </c>
      <c r="B88" s="62" t="str">
        <f>VLOOKUP(A88,'HECVAT - Full'!A$24:B$312,2,FALSE)</f>
        <v>Does your application and/or user-frontend/portal support multi-factor authentication? (e.g. Duo, Google Authenticator, OTP, etc.)</v>
      </c>
      <c r="C88" s="32" t="s">
        <v>1296</v>
      </c>
      <c r="D88" s="32" t="s">
        <v>1297</v>
      </c>
      <c r="E88" s="234"/>
      <c r="F88" s="235"/>
      <c r="G88" s="235"/>
      <c r="H88" s="235"/>
      <c r="I88" s="235"/>
      <c r="J88" s="235"/>
      <c r="K88" s="235"/>
      <c r="L88" s="235"/>
      <c r="M88" s="235"/>
      <c r="N88" s="235"/>
      <c r="O88" s="235"/>
      <c r="P88" s="235"/>
      <c r="Q88" s="235"/>
      <c r="R88" s="235"/>
      <c r="S88" s="235"/>
      <c r="T88" s="235"/>
      <c r="U88" s="235"/>
      <c r="V88" s="235"/>
      <c r="W88" s="235"/>
      <c r="X88" s="235"/>
      <c r="Y88" s="6"/>
      <c r="Z88" s="6"/>
    </row>
    <row r="89" ht="84.0" customHeight="1">
      <c r="A89" s="51" t="str">
        <f>'HECVAT - Full'!A89</f>
        <v>AAAI-10</v>
      </c>
      <c r="B89" s="62" t="str">
        <f>VLOOKUP(A89,'HECVAT - Full'!A$24:B$312,2,FALSE)</f>
        <v>Does your application support integration with other authentication and authorization systems?  List which ones (such as Active Directory, Kerberos and what version) in Additional Info?</v>
      </c>
      <c r="C89" s="32" t="s">
        <v>1288</v>
      </c>
      <c r="D89" s="32" t="s">
        <v>1298</v>
      </c>
      <c r="E89" s="234"/>
      <c r="F89" s="235"/>
      <c r="G89" s="235"/>
      <c r="H89" s="235"/>
      <c r="I89" s="235"/>
      <c r="J89" s="235"/>
      <c r="K89" s="235"/>
      <c r="L89" s="235"/>
      <c r="M89" s="235"/>
      <c r="N89" s="235"/>
      <c r="O89" s="235"/>
      <c r="P89" s="235"/>
      <c r="Q89" s="235"/>
      <c r="R89" s="235"/>
      <c r="S89" s="235"/>
      <c r="T89" s="235"/>
      <c r="U89" s="235"/>
      <c r="V89" s="235"/>
      <c r="W89" s="235"/>
      <c r="X89" s="235"/>
      <c r="Y89" s="6"/>
      <c r="Z89" s="6"/>
    </row>
    <row r="90" ht="85.5" customHeight="1">
      <c r="A90" s="51" t="str">
        <f>'HECVAT - Full'!A90</f>
        <v>AAAI-11</v>
      </c>
      <c r="B90" s="62" t="str">
        <f>VLOOKUP(A90,'HECVAT - Full'!A$24:B$312,2,FALSE)</f>
        <v>Will any external authentication or authorization system be utilized by an application with access to the institution's data?</v>
      </c>
      <c r="C90" s="32" t="s">
        <v>1299</v>
      </c>
      <c r="D90" s="32" t="s">
        <v>1300</v>
      </c>
      <c r="E90" s="234"/>
      <c r="F90" s="235"/>
      <c r="G90" s="235"/>
      <c r="H90" s="235"/>
      <c r="I90" s="235"/>
      <c r="J90" s="235"/>
      <c r="K90" s="235"/>
      <c r="L90" s="235"/>
      <c r="M90" s="235"/>
      <c r="N90" s="235"/>
      <c r="O90" s="235"/>
      <c r="P90" s="235"/>
      <c r="Q90" s="235"/>
      <c r="R90" s="235"/>
      <c r="S90" s="235"/>
      <c r="T90" s="235"/>
      <c r="U90" s="235"/>
      <c r="V90" s="235"/>
      <c r="W90" s="235"/>
      <c r="X90" s="235"/>
      <c r="Y90" s="6"/>
      <c r="Z90" s="6"/>
    </row>
    <row r="91" ht="96.0" customHeight="1">
      <c r="A91" s="51" t="str">
        <f>'HECVAT - Full'!A91</f>
        <v>AAAI-12</v>
      </c>
      <c r="B91" s="62" t="str">
        <f>VLOOKUP(A91,'HECVAT - Full'!A$24:B$312,2,FALSE)</f>
        <v>Does the system (servers/infrastructure) support external authentication services (e.g. Active Directory, LDAP) in place of local authentication?</v>
      </c>
      <c r="C91" s="32" t="s">
        <v>1301</v>
      </c>
      <c r="D91" s="32" t="s">
        <v>1302</v>
      </c>
      <c r="E91" s="234"/>
      <c r="F91" s="235"/>
      <c r="G91" s="235"/>
      <c r="H91" s="235"/>
      <c r="I91" s="235"/>
      <c r="J91" s="235"/>
      <c r="K91" s="235"/>
      <c r="L91" s="235"/>
      <c r="M91" s="235"/>
      <c r="N91" s="235"/>
      <c r="O91" s="235"/>
      <c r="P91" s="235"/>
      <c r="Q91" s="235"/>
      <c r="R91" s="235"/>
      <c r="S91" s="235"/>
      <c r="T91" s="235"/>
      <c r="U91" s="235"/>
      <c r="V91" s="235"/>
      <c r="W91" s="235"/>
      <c r="X91" s="235"/>
      <c r="Y91" s="6"/>
      <c r="Z91" s="6"/>
    </row>
    <row r="92" ht="63.75" customHeight="1">
      <c r="A92" s="51" t="str">
        <f>'HECVAT - Full'!A92</f>
        <v>AAAI-13</v>
      </c>
      <c r="B92" s="62" t="str">
        <f>VLOOKUP(A92,'HECVAT - Full'!A$24:B$312,2,FALSE)</f>
        <v>Does the system operate in a mixed authentication mode (i.e. external and local authentication)?</v>
      </c>
      <c r="C92" s="32" t="s">
        <v>1303</v>
      </c>
      <c r="D92" s="32" t="s">
        <v>1304</v>
      </c>
      <c r="E92" s="234"/>
      <c r="F92" s="235"/>
      <c r="G92" s="235"/>
      <c r="H92" s="235"/>
      <c r="I92" s="235"/>
      <c r="J92" s="235"/>
      <c r="K92" s="235"/>
      <c r="L92" s="235"/>
      <c r="M92" s="235"/>
      <c r="N92" s="235"/>
      <c r="O92" s="235"/>
      <c r="P92" s="235"/>
      <c r="Q92" s="235"/>
      <c r="R92" s="235"/>
      <c r="S92" s="235"/>
      <c r="T92" s="235"/>
      <c r="U92" s="235"/>
      <c r="V92" s="235"/>
      <c r="W92" s="235"/>
      <c r="X92" s="235"/>
      <c r="Y92" s="6"/>
      <c r="Z92" s="6"/>
    </row>
    <row r="93" ht="63.0" customHeight="1">
      <c r="A93" s="51" t="str">
        <f>'HECVAT - Full'!A93</f>
        <v>AAAI-14</v>
      </c>
      <c r="B93" s="62" t="str">
        <f>VLOOKUP(A93,'HECVAT - Full'!A$24:B$312,2,FALSE)</f>
        <v>Will any external authentication or authorization system be utilized by a system with access to institution data?</v>
      </c>
      <c r="C93" s="32" t="s">
        <v>1303</v>
      </c>
      <c r="D93" s="32" t="s">
        <v>1304</v>
      </c>
      <c r="E93" s="234"/>
      <c r="F93" s="235"/>
      <c r="G93" s="235"/>
      <c r="H93" s="235"/>
      <c r="I93" s="235"/>
      <c r="J93" s="235"/>
      <c r="K93" s="235"/>
      <c r="L93" s="235"/>
      <c r="M93" s="235"/>
      <c r="N93" s="235"/>
      <c r="O93" s="235"/>
      <c r="P93" s="235"/>
      <c r="Q93" s="235"/>
      <c r="R93" s="235"/>
      <c r="S93" s="235"/>
      <c r="T93" s="235"/>
      <c r="U93" s="235"/>
      <c r="V93" s="235"/>
      <c r="W93" s="235"/>
      <c r="X93" s="235"/>
      <c r="Y93" s="6"/>
      <c r="Z93" s="6"/>
    </row>
    <row r="94" ht="96.0" customHeight="1">
      <c r="A94" s="51" t="str">
        <f>'HECVAT - Full'!A94</f>
        <v>AAAI-15</v>
      </c>
      <c r="B94" s="62" t="str">
        <f>VLOOKUP(A94,'HECVAT - Full'!A$24:B$312,2,FALSE)</f>
        <v>Are audit logs available that include AT LEAST all of the following; login, logout, actions performed, and source IP address?</v>
      </c>
      <c r="C94" s="32" t="s">
        <v>1305</v>
      </c>
      <c r="D94" s="32" t="s">
        <v>1306</v>
      </c>
      <c r="E94" s="234"/>
      <c r="F94" s="235"/>
      <c r="G94" s="235"/>
      <c r="H94" s="235"/>
      <c r="I94" s="235"/>
      <c r="J94" s="235"/>
      <c r="K94" s="235"/>
      <c r="L94" s="235"/>
      <c r="M94" s="235"/>
      <c r="N94" s="235"/>
      <c r="O94" s="235"/>
      <c r="P94" s="235"/>
      <c r="Q94" s="235"/>
      <c r="R94" s="235"/>
      <c r="S94" s="235"/>
      <c r="T94" s="235"/>
      <c r="U94" s="235"/>
      <c r="V94" s="235"/>
      <c r="W94" s="235"/>
      <c r="X94" s="235"/>
      <c r="Y94" s="6"/>
      <c r="Z94" s="6"/>
    </row>
    <row r="95" ht="128.25" customHeight="1">
      <c r="A95" s="51" t="str">
        <f>'HECVAT - Full'!A95</f>
        <v>AAAI-16</v>
      </c>
      <c r="B95" s="62" t="str">
        <f>VLOOKUP(A95,'HECVAT - Full'!A$24:B$312,2,FALSE)</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C95" s="32" t="s">
        <v>1307</v>
      </c>
      <c r="D95" s="32" t="s">
        <v>1306</v>
      </c>
      <c r="E95" s="234"/>
      <c r="F95" s="235"/>
      <c r="G95" s="235"/>
      <c r="H95" s="235"/>
      <c r="I95" s="235"/>
      <c r="J95" s="235"/>
      <c r="K95" s="235"/>
      <c r="L95" s="235"/>
      <c r="M95" s="235"/>
      <c r="N95" s="235"/>
      <c r="O95" s="235"/>
      <c r="P95" s="235"/>
      <c r="Q95" s="235"/>
      <c r="R95" s="235"/>
      <c r="S95" s="235"/>
      <c r="T95" s="235"/>
      <c r="U95" s="235"/>
      <c r="V95" s="235"/>
      <c r="W95" s="235"/>
      <c r="X95" s="235"/>
      <c r="Y95" s="6"/>
      <c r="Z95" s="6"/>
    </row>
    <row r="96" ht="89.25" customHeight="1">
      <c r="A96" s="51" t="str">
        <f>'HECVAT - Full'!A96</f>
        <v>AAAI-17</v>
      </c>
      <c r="B96" s="62" t="str">
        <f>VLOOKUP(A96,'HECVAT - Full'!A$24:B$312,2,FALSE)</f>
        <v>Describe or provide a reference to the retention period for those logs, how logs are protected, and whether they are accessible to the customer (and if so, how).</v>
      </c>
      <c r="C96" s="32" t="s">
        <v>1308</v>
      </c>
      <c r="D96" s="32" t="s">
        <v>1309</v>
      </c>
      <c r="E96" s="234"/>
      <c r="F96" s="235"/>
      <c r="G96" s="235"/>
      <c r="H96" s="235"/>
      <c r="I96" s="235"/>
      <c r="J96" s="235"/>
      <c r="K96" s="235"/>
      <c r="L96" s="235"/>
      <c r="M96" s="235"/>
      <c r="N96" s="235"/>
      <c r="O96" s="235"/>
      <c r="P96" s="235"/>
      <c r="Q96" s="235"/>
      <c r="R96" s="235"/>
      <c r="S96" s="235"/>
      <c r="T96" s="235"/>
      <c r="U96" s="235"/>
      <c r="V96" s="235"/>
      <c r="W96" s="235"/>
      <c r="X96" s="235"/>
      <c r="Y96" s="6"/>
      <c r="Z96" s="6"/>
    </row>
    <row r="97" ht="36.0" customHeight="1">
      <c r="A97" s="45" t="str">
        <f>IF(OR($C$27="No",$C$30="Yes"),"BCP - Respond to as many questions below as possible.","Business Continuity Plan")</f>
        <v>Business Continuity Plan</v>
      </c>
      <c r="B97" s="14"/>
      <c r="C97" s="60" t="str">
        <f>$C$22</f>
        <v>Reason for Question</v>
      </c>
      <c r="D97" s="60" t="str">
        <f>$D$22</f>
        <v>Follow-up Inquiries/Responses</v>
      </c>
      <c r="E97" s="234"/>
      <c r="F97" s="235"/>
      <c r="G97" s="235"/>
      <c r="H97" s="235"/>
      <c r="I97" s="235"/>
      <c r="J97" s="235"/>
      <c r="K97" s="235"/>
      <c r="L97" s="235"/>
      <c r="M97" s="235"/>
      <c r="N97" s="235"/>
      <c r="O97" s="235"/>
      <c r="P97" s="235"/>
      <c r="Q97" s="235"/>
      <c r="R97" s="235"/>
      <c r="S97" s="235"/>
      <c r="T97" s="235"/>
      <c r="U97" s="235"/>
      <c r="V97" s="235"/>
      <c r="W97" s="235"/>
      <c r="X97" s="235"/>
      <c r="Y97" s="6"/>
      <c r="Z97" s="6"/>
    </row>
    <row r="98" ht="114.0" customHeight="1">
      <c r="A98" s="51" t="str">
        <f>'HECVAT - Full'!A98</f>
        <v>BCPL-01</v>
      </c>
      <c r="B98" s="62" t="str">
        <f>VLOOKUP(A98,'HECVAT - Full'!A$24:B$312,2,FALSE)</f>
        <v>Describe or provide a reference to your Business Continuity Plan (BCP).</v>
      </c>
      <c r="C98" s="32" t="s">
        <v>1310</v>
      </c>
      <c r="D98" s="32" t="s">
        <v>1311</v>
      </c>
      <c r="E98" s="234"/>
      <c r="F98" s="235"/>
      <c r="G98" s="235"/>
      <c r="H98" s="235"/>
      <c r="I98" s="235"/>
      <c r="J98" s="235"/>
      <c r="K98" s="235"/>
      <c r="L98" s="235"/>
      <c r="M98" s="235"/>
      <c r="N98" s="235"/>
      <c r="O98" s="235"/>
      <c r="P98" s="235"/>
      <c r="Q98" s="235"/>
      <c r="R98" s="235"/>
      <c r="S98" s="235"/>
      <c r="T98" s="235"/>
      <c r="U98" s="235"/>
      <c r="V98" s="235"/>
      <c r="W98" s="235"/>
      <c r="X98" s="235"/>
      <c r="Y98" s="6"/>
      <c r="Z98" s="6"/>
    </row>
    <row r="99" ht="46.5" customHeight="1">
      <c r="A99" s="51" t="str">
        <f>'HECVAT - Full'!A99</f>
        <v>BCPL-02</v>
      </c>
      <c r="B99" s="62" t="str">
        <f>VLOOKUP(A99,'HECVAT - Full'!A$24:B$312,2,FALSE)</f>
        <v>May the Institution review your BCP and supporting documentation?</v>
      </c>
      <c r="C99" s="32" t="s">
        <v>1312</v>
      </c>
      <c r="D99" s="32" t="s">
        <v>1313</v>
      </c>
      <c r="E99" s="234"/>
      <c r="F99" s="235"/>
      <c r="G99" s="235"/>
      <c r="H99" s="235"/>
      <c r="I99" s="235"/>
      <c r="J99" s="235"/>
      <c r="K99" s="235"/>
      <c r="L99" s="235"/>
      <c r="M99" s="235"/>
      <c r="N99" s="235"/>
      <c r="O99" s="235"/>
      <c r="P99" s="235"/>
      <c r="Q99" s="235"/>
      <c r="R99" s="235"/>
      <c r="S99" s="235"/>
      <c r="T99" s="235"/>
      <c r="U99" s="235"/>
      <c r="V99" s="235"/>
      <c r="W99" s="235"/>
      <c r="X99" s="235"/>
      <c r="Y99" s="6"/>
      <c r="Z99" s="6"/>
    </row>
    <row r="100" ht="57.0" customHeight="1">
      <c r="A100" s="51" t="str">
        <f>'HECVAT - Full'!A100</f>
        <v>BCPL-03</v>
      </c>
      <c r="B100" s="62" t="str">
        <f>VLOOKUP(A100,'HECVAT - Full'!A$24:B$312,2,FALSE)</f>
        <v>Is an owner assigned who is responsible for the maintenance and review of the Business Continuity Plan?</v>
      </c>
      <c r="C100" s="32" t="s">
        <v>1314</v>
      </c>
      <c r="D100" s="32" t="s">
        <v>1315</v>
      </c>
      <c r="E100" s="234"/>
      <c r="F100" s="235"/>
      <c r="G100" s="235"/>
      <c r="H100" s="235"/>
      <c r="I100" s="235"/>
      <c r="J100" s="235"/>
      <c r="K100" s="235"/>
      <c r="L100" s="235"/>
      <c r="M100" s="235"/>
      <c r="N100" s="235"/>
      <c r="O100" s="235"/>
      <c r="P100" s="235"/>
      <c r="Q100" s="235"/>
      <c r="R100" s="235"/>
      <c r="S100" s="235"/>
      <c r="T100" s="235"/>
      <c r="U100" s="235"/>
      <c r="V100" s="235"/>
      <c r="W100" s="235"/>
      <c r="X100" s="235"/>
      <c r="Y100" s="6"/>
      <c r="Z100" s="6"/>
    </row>
    <row r="101" ht="71.25" customHeight="1">
      <c r="A101" s="51" t="str">
        <f>'HECVAT - Full'!A101</f>
        <v>BCPL-04</v>
      </c>
      <c r="B101" s="62" t="str">
        <f>VLOOKUP(A101,'HECVAT - Full'!A$24:B$312,2,FALSE)</f>
        <v>Is there a defined problem/issue escalation plan in your BCP for impacted clients?</v>
      </c>
      <c r="C101" s="32" t="s">
        <v>1316</v>
      </c>
      <c r="D101" s="32" t="s">
        <v>1317</v>
      </c>
      <c r="E101" s="234"/>
      <c r="F101" s="235"/>
      <c r="G101" s="235"/>
      <c r="H101" s="235"/>
      <c r="I101" s="235"/>
      <c r="J101" s="235"/>
      <c r="K101" s="235"/>
      <c r="L101" s="235"/>
      <c r="M101" s="235"/>
      <c r="N101" s="235"/>
      <c r="O101" s="235"/>
      <c r="P101" s="235"/>
      <c r="Q101" s="235"/>
      <c r="R101" s="235"/>
      <c r="S101" s="235"/>
      <c r="T101" s="235"/>
      <c r="U101" s="235"/>
      <c r="V101" s="235"/>
      <c r="W101" s="235"/>
      <c r="X101" s="235"/>
      <c r="Y101" s="6"/>
      <c r="Z101" s="6"/>
    </row>
    <row r="102" ht="63.75" customHeight="1">
      <c r="A102" s="51" t="str">
        <f>'HECVAT - Full'!A102</f>
        <v>BCPL-05</v>
      </c>
      <c r="B102" s="62" t="str">
        <f>VLOOKUP(A102,'HECVAT - Full'!A$24:B$312,2,FALSE)</f>
        <v>Is there a documented communication plan in your BCP for impacted clients?</v>
      </c>
      <c r="C102" s="32" t="s">
        <v>1316</v>
      </c>
      <c r="D102" s="32" t="s">
        <v>1317</v>
      </c>
      <c r="E102" s="234"/>
      <c r="F102" s="235"/>
      <c r="G102" s="235"/>
      <c r="H102" s="235"/>
      <c r="I102" s="235"/>
      <c r="J102" s="235"/>
      <c r="K102" s="235"/>
      <c r="L102" s="235"/>
      <c r="M102" s="235"/>
      <c r="N102" s="235"/>
      <c r="O102" s="235"/>
      <c r="P102" s="235"/>
      <c r="Q102" s="235"/>
      <c r="R102" s="235"/>
      <c r="S102" s="235"/>
      <c r="T102" s="235"/>
      <c r="U102" s="235"/>
      <c r="V102" s="235"/>
      <c r="W102" s="235"/>
      <c r="X102" s="235"/>
      <c r="Y102" s="6"/>
      <c r="Z102" s="6"/>
    </row>
    <row r="103" ht="96.0" customHeight="1">
      <c r="A103" s="51" t="str">
        <f>'HECVAT - Full'!A103</f>
        <v>BCPL-06</v>
      </c>
      <c r="B103" s="62" t="str">
        <f>VLOOKUP(A103,'HECVAT - Full'!A$24:B$312,2,FALSE)</f>
        <v>Are all components of the BCP reviewed at least annually and updated as needed to reflect change? </v>
      </c>
      <c r="C103" s="32" t="s">
        <v>1318</v>
      </c>
      <c r="D103" s="32" t="s">
        <v>1319</v>
      </c>
      <c r="E103" s="234"/>
      <c r="F103" s="235"/>
      <c r="G103" s="235"/>
      <c r="H103" s="235"/>
      <c r="I103" s="235"/>
      <c r="J103" s="235"/>
      <c r="K103" s="235"/>
      <c r="L103" s="235"/>
      <c r="M103" s="235"/>
      <c r="N103" s="235"/>
      <c r="O103" s="235"/>
      <c r="P103" s="235"/>
      <c r="Q103" s="235"/>
      <c r="R103" s="235"/>
      <c r="S103" s="235"/>
      <c r="T103" s="235"/>
      <c r="U103" s="235"/>
      <c r="V103" s="235"/>
      <c r="W103" s="235"/>
      <c r="X103" s="235"/>
      <c r="Y103" s="6"/>
      <c r="Z103" s="6"/>
    </row>
    <row r="104" ht="57.0" customHeight="1">
      <c r="A104" s="51" t="str">
        <f>'HECVAT - Full'!A104</f>
        <v>BCPL-07</v>
      </c>
      <c r="B104" s="62" t="str">
        <f>VLOOKUP(A104,'HECVAT - Full'!A$24:B$312,2,FALSE)</f>
        <v>Has your BCP been tested in the last year? </v>
      </c>
      <c r="C104" s="32" t="s">
        <v>1320</v>
      </c>
      <c r="D104" s="32" t="s">
        <v>1319</v>
      </c>
      <c r="E104" s="234"/>
      <c r="F104" s="235"/>
      <c r="G104" s="235"/>
      <c r="H104" s="235"/>
      <c r="I104" s="235"/>
      <c r="J104" s="235"/>
      <c r="K104" s="235"/>
      <c r="L104" s="235"/>
      <c r="M104" s="235"/>
      <c r="N104" s="235"/>
      <c r="O104" s="235"/>
      <c r="P104" s="235"/>
      <c r="Q104" s="235"/>
      <c r="R104" s="235"/>
      <c r="S104" s="235"/>
      <c r="T104" s="235"/>
      <c r="U104" s="235"/>
      <c r="V104" s="235"/>
      <c r="W104" s="235"/>
      <c r="X104" s="235"/>
      <c r="Y104" s="6"/>
      <c r="Z104" s="6"/>
    </row>
    <row r="105" ht="71.25" customHeight="1">
      <c r="A105" s="51" t="str">
        <f>'HECVAT - Full'!A105</f>
        <v>BCPL-08</v>
      </c>
      <c r="B105" s="62" t="str">
        <f>VLOOKUP(A105,'HECVAT - Full'!A$24:B$312,2,FALSE)</f>
        <v>Does your organization conduct training and awareness activities to validate its employees understanding of their roles and responsibilities during a crisis?</v>
      </c>
      <c r="C105" s="32" t="s">
        <v>1321</v>
      </c>
      <c r="D105" s="32" t="s">
        <v>1322</v>
      </c>
      <c r="E105" s="234"/>
      <c r="F105" s="235"/>
      <c r="G105" s="235"/>
      <c r="H105" s="235"/>
      <c r="I105" s="235"/>
      <c r="J105" s="235"/>
      <c r="K105" s="235"/>
      <c r="L105" s="235"/>
      <c r="M105" s="235"/>
      <c r="N105" s="235"/>
      <c r="O105" s="235"/>
      <c r="P105" s="235"/>
      <c r="Q105" s="235"/>
      <c r="R105" s="235"/>
      <c r="S105" s="235"/>
      <c r="T105" s="235"/>
      <c r="U105" s="235"/>
      <c r="V105" s="235"/>
      <c r="W105" s="235"/>
      <c r="X105" s="235"/>
      <c r="Y105" s="6"/>
      <c r="Z105" s="6"/>
    </row>
    <row r="106" ht="99.75" customHeight="1">
      <c r="A106" s="51" t="str">
        <f>'HECVAT - Full'!A106</f>
        <v>BCPL-09</v>
      </c>
      <c r="B106" s="62" t="str">
        <f>VLOOKUP(A106,'HECVAT - Full'!A$24:B$312,2,FALSE)</f>
        <v>Are specific crisis management roles and responsibilities defined and documented?</v>
      </c>
      <c r="C106" s="32" t="s">
        <v>1323</v>
      </c>
      <c r="D106" s="32" t="s">
        <v>1324</v>
      </c>
      <c r="E106" s="234"/>
      <c r="F106" s="235"/>
      <c r="G106" s="235"/>
      <c r="H106" s="235"/>
      <c r="I106" s="235"/>
      <c r="J106" s="235"/>
      <c r="K106" s="235"/>
      <c r="L106" s="235"/>
      <c r="M106" s="235"/>
      <c r="N106" s="235"/>
      <c r="O106" s="235"/>
      <c r="P106" s="235"/>
      <c r="Q106" s="235"/>
      <c r="R106" s="235"/>
      <c r="S106" s="235"/>
      <c r="T106" s="235"/>
      <c r="U106" s="235"/>
      <c r="V106" s="235"/>
      <c r="W106" s="235"/>
      <c r="X106" s="235"/>
      <c r="Y106" s="6"/>
      <c r="Z106" s="6"/>
    </row>
    <row r="107" ht="85.5" customHeight="1">
      <c r="A107" s="51" t="str">
        <f>'HECVAT - Full'!A107</f>
        <v>BCPL-10</v>
      </c>
      <c r="B107" s="62" t="str">
        <f>VLOOKUP(A107,'HECVAT - Full'!A$24:B$312,2,FALSE)</f>
        <v>Does your organization have an alternative business site or a contracted Business Recovery provider?</v>
      </c>
      <c r="C107" s="32" t="s">
        <v>1325</v>
      </c>
      <c r="D107" s="32" t="s">
        <v>1326</v>
      </c>
      <c r="E107" s="234"/>
      <c r="F107" s="235"/>
      <c r="G107" s="235"/>
      <c r="H107" s="235"/>
      <c r="I107" s="235"/>
      <c r="J107" s="235"/>
      <c r="K107" s="235"/>
      <c r="L107" s="235"/>
      <c r="M107" s="235"/>
      <c r="N107" s="235"/>
      <c r="O107" s="235"/>
      <c r="P107" s="235"/>
      <c r="Q107" s="235"/>
      <c r="R107" s="235"/>
      <c r="S107" s="235"/>
      <c r="T107" s="235"/>
      <c r="U107" s="235"/>
      <c r="V107" s="235"/>
      <c r="W107" s="235"/>
      <c r="X107" s="235"/>
      <c r="Y107" s="6"/>
      <c r="Z107" s="6"/>
    </row>
    <row r="108" ht="71.25" customHeight="1">
      <c r="A108" s="51" t="str">
        <f>'HECVAT - Full'!A108</f>
        <v>BCPL-11</v>
      </c>
      <c r="B108" s="62" t="str">
        <f>VLOOKUP(A108,'HECVAT - Full'!A$24:B$312,2,FALSE)</f>
        <v>Does your organization conduct an annual test of relocating to an alternate site for business recovery purposes?</v>
      </c>
      <c r="C108" s="32" t="s">
        <v>1327</v>
      </c>
      <c r="D108" s="32" t="s">
        <v>1319</v>
      </c>
      <c r="E108" s="234"/>
      <c r="F108" s="235"/>
      <c r="G108" s="235"/>
      <c r="H108" s="235"/>
      <c r="I108" s="235"/>
      <c r="J108" s="235"/>
      <c r="K108" s="235"/>
      <c r="L108" s="235"/>
      <c r="M108" s="235"/>
      <c r="N108" s="235"/>
      <c r="O108" s="235"/>
      <c r="P108" s="235"/>
      <c r="Q108" s="235"/>
      <c r="R108" s="235"/>
      <c r="S108" s="235"/>
      <c r="T108" s="235"/>
      <c r="U108" s="235"/>
      <c r="V108" s="235"/>
      <c r="W108" s="235"/>
      <c r="X108" s="235"/>
      <c r="Y108" s="6"/>
      <c r="Z108" s="6"/>
    </row>
    <row r="109" ht="99.75" customHeight="1">
      <c r="A109" s="51" t="str">
        <f>'HECVAT - Full'!A109</f>
        <v>BCPL-12</v>
      </c>
      <c r="B109" s="62" t="str">
        <f>VLOOKUP(A109,'HECVAT - Full'!A$24:B$312,2,FALSE)</f>
        <v>Is this product a core service of your organization, and as such, the top priority during business continuity planning?</v>
      </c>
      <c r="C109" s="32" t="s">
        <v>1328</v>
      </c>
      <c r="D109" s="32" t="s">
        <v>1329</v>
      </c>
      <c r="E109" s="234"/>
      <c r="F109" s="235"/>
      <c r="G109" s="235"/>
      <c r="H109" s="235"/>
      <c r="I109" s="235"/>
      <c r="J109" s="235"/>
      <c r="K109" s="235"/>
      <c r="L109" s="235"/>
      <c r="M109" s="235"/>
      <c r="N109" s="235"/>
      <c r="O109" s="235"/>
      <c r="P109" s="235"/>
      <c r="Q109" s="235"/>
      <c r="R109" s="235"/>
      <c r="S109" s="235"/>
      <c r="T109" s="235"/>
      <c r="U109" s="235"/>
      <c r="V109" s="235"/>
      <c r="W109" s="235"/>
      <c r="X109" s="235"/>
      <c r="Y109" s="6"/>
      <c r="Z109" s="6"/>
    </row>
    <row r="110" ht="36.0" customHeight="1">
      <c r="A110" s="45" t="str">
        <f>IF($C$30="","Change Management",IF($C$30="Yes","Change Management - Optional based on QUALIFIER response.","Change Management"))</f>
        <v>Change Management</v>
      </c>
      <c r="B110" s="14"/>
      <c r="C110" s="60" t="str">
        <f>$C$22</f>
        <v>Reason for Question</v>
      </c>
      <c r="D110" s="60" t="str">
        <f>$D$22</f>
        <v>Follow-up Inquiries/Responses</v>
      </c>
      <c r="E110" s="234"/>
      <c r="F110" s="235"/>
      <c r="G110" s="235"/>
      <c r="H110" s="235"/>
      <c r="I110" s="235"/>
      <c r="J110" s="235"/>
      <c r="K110" s="235"/>
      <c r="L110" s="235"/>
      <c r="M110" s="235"/>
      <c r="N110" s="235"/>
      <c r="O110" s="235"/>
      <c r="P110" s="235"/>
      <c r="Q110" s="235"/>
      <c r="R110" s="235"/>
      <c r="S110" s="235"/>
      <c r="T110" s="235"/>
      <c r="U110" s="235"/>
      <c r="V110" s="235"/>
      <c r="W110" s="235"/>
      <c r="X110" s="235"/>
      <c r="Y110" s="6"/>
      <c r="Z110" s="6"/>
    </row>
    <row r="111" ht="71.25" customHeight="1">
      <c r="A111" s="51" t="str">
        <f>'HECVAT - Full'!A111</f>
        <v>CHNG-01</v>
      </c>
      <c r="B111" s="62" t="str">
        <f>VLOOKUP(A111,'HECVAT - Full'!A$24:B$312,2,FALSE)</f>
        <v>Do you have a documented and currently followed change management process (CMP)? </v>
      </c>
      <c r="C111" s="32" t="s">
        <v>1330</v>
      </c>
      <c r="D111" s="32" t="s">
        <v>1331</v>
      </c>
      <c r="E111" s="234"/>
      <c r="F111" s="235"/>
      <c r="G111" s="235"/>
      <c r="H111" s="235"/>
      <c r="I111" s="235"/>
      <c r="J111" s="235"/>
      <c r="K111" s="235"/>
      <c r="L111" s="235"/>
      <c r="M111" s="235"/>
      <c r="N111" s="235"/>
      <c r="O111" s="235"/>
      <c r="P111" s="235"/>
      <c r="Q111" s="235"/>
      <c r="R111" s="235"/>
      <c r="S111" s="235"/>
      <c r="T111" s="235"/>
      <c r="U111" s="235"/>
      <c r="V111" s="235"/>
      <c r="W111" s="235"/>
      <c r="X111" s="235"/>
      <c r="Y111" s="6"/>
      <c r="Z111" s="6"/>
    </row>
    <row r="112" ht="79.5" customHeight="1">
      <c r="A112" s="51" t="str">
        <f>'HECVAT - Full'!A112</f>
        <v>CHNG-02</v>
      </c>
      <c r="B112" s="62" t="str">
        <f>VLOOKUP(A112,'HECVAT - Full'!A$24:B$312,2,FALSE)</f>
        <v>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v>
      </c>
      <c r="C112" s="32" t="s">
        <v>1332</v>
      </c>
      <c r="D112" s="32" t="s">
        <v>1333</v>
      </c>
      <c r="E112" s="234"/>
      <c r="F112" s="235"/>
      <c r="G112" s="235"/>
      <c r="H112" s="235"/>
      <c r="I112" s="235"/>
      <c r="J112" s="235"/>
      <c r="K112" s="235"/>
      <c r="L112" s="235"/>
      <c r="M112" s="235"/>
      <c r="N112" s="235"/>
      <c r="O112" s="235"/>
      <c r="P112" s="235"/>
      <c r="Q112" s="235"/>
      <c r="R112" s="235"/>
      <c r="S112" s="235"/>
      <c r="T112" s="235"/>
      <c r="U112" s="235"/>
      <c r="V112" s="235"/>
      <c r="W112" s="235"/>
      <c r="X112" s="235"/>
      <c r="Y112" s="6"/>
      <c r="Z112" s="6"/>
    </row>
    <row r="113" ht="72.0" customHeight="1">
      <c r="A113" s="51" t="str">
        <f>'HECVAT - Full'!A113</f>
        <v>CHNG-03</v>
      </c>
      <c r="B113" s="62" t="str">
        <f>VLOOKUP(A113,'HECVAT - Full'!A$24:B$312,2,FALSE)</f>
        <v>Will the Institution be notified of major changes to your environment that could impact the Institution's security posture?</v>
      </c>
      <c r="C113" s="32" t="s">
        <v>1334</v>
      </c>
      <c r="D113" s="32" t="s">
        <v>1317</v>
      </c>
      <c r="E113" s="234"/>
      <c r="F113" s="235"/>
      <c r="G113" s="235"/>
      <c r="H113" s="235"/>
      <c r="I113" s="235"/>
      <c r="J113" s="235"/>
      <c r="K113" s="235"/>
      <c r="L113" s="235"/>
      <c r="M113" s="235"/>
      <c r="N113" s="235"/>
      <c r="O113" s="235"/>
      <c r="P113" s="235"/>
      <c r="Q113" s="235"/>
      <c r="R113" s="235"/>
      <c r="S113" s="235"/>
      <c r="T113" s="235"/>
      <c r="U113" s="235"/>
      <c r="V113" s="235"/>
      <c r="W113" s="235"/>
      <c r="X113" s="235"/>
      <c r="Y113" s="6"/>
      <c r="Z113" s="6"/>
    </row>
    <row r="114" ht="114.0" customHeight="1">
      <c r="A114" s="51" t="str">
        <f>'HECVAT - Full'!A114</f>
        <v>CHNG-04</v>
      </c>
      <c r="B114" s="62" t="str">
        <f>VLOOKUP(A114,'HECVAT - Full'!A$24:B$312,2,FALSE)</f>
        <v>Do clients have the option to not participate in or postpone an upgrade to a new release?</v>
      </c>
      <c r="C114" s="32" t="s">
        <v>1335</v>
      </c>
      <c r="D114" s="32" t="s">
        <v>1336</v>
      </c>
      <c r="E114" s="234"/>
      <c r="F114" s="235"/>
      <c r="G114" s="235"/>
      <c r="H114" s="235"/>
      <c r="I114" s="235"/>
      <c r="J114" s="235"/>
      <c r="K114" s="235"/>
      <c r="L114" s="235"/>
      <c r="M114" s="235"/>
      <c r="N114" s="235"/>
      <c r="O114" s="235"/>
      <c r="P114" s="235"/>
      <c r="Q114" s="235"/>
      <c r="R114" s="235"/>
      <c r="S114" s="235"/>
      <c r="T114" s="235"/>
      <c r="U114" s="235"/>
      <c r="V114" s="235"/>
      <c r="W114" s="235"/>
      <c r="X114" s="235"/>
      <c r="Y114" s="6"/>
      <c r="Z114" s="6"/>
    </row>
    <row r="115" ht="63.75" customHeight="1">
      <c r="A115" s="51" t="str">
        <f>'HECVAT - Full'!A115</f>
        <v>CHNG-05</v>
      </c>
      <c r="B115" s="62" t="str">
        <f>VLOOKUP(A115,'HECVAT - Full'!A$24:B$312,2,FALSE)</f>
        <v>Describe or provide a reference to your solution support strategy in relation to maintaining software currency. (i.e. how many concurrent versions are you willing to run and support?)</v>
      </c>
      <c r="C115" s="32" t="s">
        <v>1337</v>
      </c>
      <c r="D115" s="32" t="s">
        <v>1338</v>
      </c>
      <c r="E115" s="234"/>
      <c r="F115" s="235"/>
      <c r="G115" s="235"/>
      <c r="H115" s="235"/>
      <c r="I115" s="235"/>
      <c r="J115" s="235"/>
      <c r="K115" s="235"/>
      <c r="L115" s="235"/>
      <c r="M115" s="235"/>
      <c r="N115" s="235"/>
      <c r="O115" s="235"/>
      <c r="P115" s="235"/>
      <c r="Q115" s="235"/>
      <c r="R115" s="235"/>
      <c r="S115" s="235"/>
      <c r="T115" s="235"/>
      <c r="U115" s="235"/>
      <c r="V115" s="235"/>
      <c r="W115" s="235"/>
      <c r="X115" s="235"/>
      <c r="Y115" s="6"/>
      <c r="Z115" s="6"/>
    </row>
    <row r="116" ht="79.5" customHeight="1">
      <c r="A116" s="51" t="str">
        <f>'HECVAT - Full'!A116</f>
        <v>CHNG-06</v>
      </c>
      <c r="B116" s="62" t="str">
        <f>VLOOKUP(A116,'HECVAT - Full'!A$24:B$312,2,FALSE)</f>
        <v>Identify the most current version of the software. Detail the percentage of live customers that are utilizing the proposed version of the software as well as each version of the software currently in use.</v>
      </c>
      <c r="C116" s="32" t="s">
        <v>1339</v>
      </c>
      <c r="D116" s="32" t="s">
        <v>1338</v>
      </c>
      <c r="E116" s="234"/>
      <c r="F116" s="235"/>
      <c r="G116" s="235"/>
      <c r="H116" s="235"/>
      <c r="I116" s="235"/>
      <c r="J116" s="235"/>
      <c r="K116" s="235"/>
      <c r="L116" s="235"/>
      <c r="M116" s="235"/>
      <c r="N116" s="235"/>
      <c r="O116" s="235"/>
      <c r="P116" s="235"/>
      <c r="Q116" s="235"/>
      <c r="R116" s="235"/>
      <c r="S116" s="235"/>
      <c r="T116" s="235"/>
      <c r="U116" s="235"/>
      <c r="V116" s="235"/>
      <c r="W116" s="235"/>
      <c r="X116" s="235"/>
      <c r="Y116" s="6"/>
      <c r="Z116" s="6"/>
    </row>
    <row r="117" ht="92.25" customHeight="1">
      <c r="A117" s="51" t="str">
        <f>'HECVAT - Full'!A117</f>
        <v>CHNG-07</v>
      </c>
      <c r="B117" s="62" t="str">
        <f>VLOOKUP(A117,'HECVAT - Full'!A$24:B$312,2,FALSE)</f>
        <v>Does the system support client customizations from one release to another?</v>
      </c>
      <c r="C117" s="32" t="s">
        <v>1340</v>
      </c>
      <c r="D117" s="32" t="s">
        <v>1341</v>
      </c>
      <c r="E117" s="234"/>
      <c r="F117" s="235"/>
      <c r="G117" s="235"/>
      <c r="H117" s="235"/>
      <c r="I117" s="235"/>
      <c r="J117" s="235"/>
      <c r="K117" s="235"/>
      <c r="L117" s="235"/>
      <c r="M117" s="235"/>
      <c r="N117" s="235"/>
      <c r="O117" s="235"/>
      <c r="P117" s="235"/>
      <c r="Q117" s="235"/>
      <c r="R117" s="235"/>
      <c r="S117" s="235"/>
      <c r="T117" s="235"/>
      <c r="U117" s="235"/>
      <c r="V117" s="235"/>
      <c r="W117" s="235"/>
      <c r="X117" s="235"/>
      <c r="Y117" s="6"/>
      <c r="Z117" s="6"/>
    </row>
    <row r="118" ht="63.75" customHeight="1">
      <c r="A118" s="51" t="str">
        <f>'HECVAT - Full'!A118</f>
        <v>CHNG-08</v>
      </c>
      <c r="B118" s="62" t="str">
        <f>VLOOKUP(A118,'HECVAT - Full'!A$24:B$312,2,FALSE)</f>
        <v>Does your organization ensure through policy and procedure (that is currently implemented) that only application software verifiable as authorized, tested, and approved for production, and having met all other requirements and reviews necessary for commissioning, is placed into production?</v>
      </c>
      <c r="C118" s="32" t="s">
        <v>1342</v>
      </c>
      <c r="D118" s="32" t="s">
        <v>1343</v>
      </c>
      <c r="E118" s="234"/>
      <c r="F118" s="235"/>
      <c r="G118" s="235"/>
      <c r="H118" s="235"/>
      <c r="I118" s="235"/>
      <c r="J118" s="235"/>
      <c r="K118" s="235"/>
      <c r="L118" s="235"/>
      <c r="M118" s="235"/>
      <c r="N118" s="235"/>
      <c r="O118" s="235"/>
      <c r="P118" s="235"/>
      <c r="Q118" s="235"/>
      <c r="R118" s="235"/>
      <c r="S118" s="235"/>
      <c r="T118" s="235"/>
      <c r="U118" s="235"/>
      <c r="V118" s="235"/>
      <c r="W118" s="235"/>
      <c r="X118" s="235"/>
      <c r="Y118" s="6"/>
      <c r="Z118" s="6"/>
    </row>
    <row r="119" ht="63.75" customHeight="1">
      <c r="A119" s="51" t="str">
        <f>'HECVAT - Full'!A119</f>
        <v>CHNG-09</v>
      </c>
      <c r="B119" s="62" t="str">
        <f>VLOOKUP(A119,'HECVAT - Full'!A$24:B$312,2,FALSE)</f>
        <v>Do you have a release schedule for product updates?</v>
      </c>
      <c r="C119" s="32" t="s">
        <v>1344</v>
      </c>
      <c r="D119" s="32" t="s">
        <v>1345</v>
      </c>
      <c r="E119" s="234"/>
      <c r="F119" s="235"/>
      <c r="G119" s="235"/>
      <c r="H119" s="235"/>
      <c r="I119" s="235"/>
      <c r="J119" s="235"/>
      <c r="K119" s="235"/>
      <c r="L119" s="235"/>
      <c r="M119" s="235"/>
      <c r="N119" s="235"/>
      <c r="O119" s="235"/>
      <c r="P119" s="235"/>
      <c r="Q119" s="235"/>
      <c r="R119" s="235"/>
      <c r="S119" s="235"/>
      <c r="T119" s="235"/>
      <c r="U119" s="235"/>
      <c r="V119" s="235"/>
      <c r="W119" s="235"/>
      <c r="X119" s="235"/>
      <c r="Y119" s="6"/>
      <c r="Z119" s="6"/>
    </row>
    <row r="120" ht="63.75" customHeight="1">
      <c r="A120" s="51" t="str">
        <f>'HECVAT - Full'!A120</f>
        <v>CHNG-10</v>
      </c>
      <c r="B120" s="62" t="str">
        <f>VLOOKUP(A120,'HECVAT - Full'!A$24:B$312,2,FALSE)</f>
        <v>Do you have a technology roadmap, for the next 2 years, for enhancements and bug fixes for the product/service being assessed?</v>
      </c>
      <c r="C120" s="32" t="s">
        <v>1346</v>
      </c>
      <c r="D120" s="32" t="s">
        <v>1347</v>
      </c>
      <c r="E120" s="234"/>
      <c r="F120" s="235"/>
      <c r="G120" s="235"/>
      <c r="H120" s="235"/>
      <c r="I120" s="235"/>
      <c r="J120" s="235"/>
      <c r="K120" s="235"/>
      <c r="L120" s="235"/>
      <c r="M120" s="235"/>
      <c r="N120" s="235"/>
      <c r="O120" s="235"/>
      <c r="P120" s="235"/>
      <c r="Q120" s="235"/>
      <c r="R120" s="235"/>
      <c r="S120" s="235"/>
      <c r="T120" s="235"/>
      <c r="U120" s="235"/>
      <c r="V120" s="235"/>
      <c r="W120" s="235"/>
      <c r="X120" s="235"/>
      <c r="Y120" s="6"/>
      <c r="Z120" s="6"/>
    </row>
    <row r="121" ht="114.0" customHeight="1">
      <c r="A121" s="51" t="str">
        <f>'HECVAT - Full'!A121</f>
        <v>CHNG-11</v>
      </c>
      <c r="B121" s="62" t="str">
        <f>VLOOKUP(A121,'HECVAT - Full'!A$24:B$312,2,FALSE)</f>
        <v>Is Institution involvement (i.e. technically or organizationally) required during product updates?</v>
      </c>
      <c r="C121" s="32" t="s">
        <v>1348</v>
      </c>
      <c r="D121" s="32" t="s">
        <v>1349</v>
      </c>
      <c r="E121" s="234"/>
      <c r="F121" s="235"/>
      <c r="G121" s="235"/>
      <c r="H121" s="235"/>
      <c r="I121" s="235"/>
      <c r="J121" s="235"/>
      <c r="K121" s="235"/>
      <c r="L121" s="235"/>
      <c r="M121" s="235"/>
      <c r="N121" s="235"/>
      <c r="O121" s="235"/>
      <c r="P121" s="235"/>
      <c r="Q121" s="235"/>
      <c r="R121" s="235"/>
      <c r="S121" s="235"/>
      <c r="T121" s="235"/>
      <c r="U121" s="235"/>
      <c r="V121" s="235"/>
      <c r="W121" s="235"/>
      <c r="X121" s="235"/>
      <c r="Y121" s="6"/>
      <c r="Z121" s="6"/>
    </row>
    <row r="122" ht="63.75" customHeight="1">
      <c r="A122" s="51" t="str">
        <f>'HECVAT - Full'!A122</f>
        <v>CHNG-12</v>
      </c>
      <c r="B122" s="62" t="str">
        <f>VLOOKUP(A122,'HECVAT - Full'!A$24:B$312,2,FALSE)</f>
        <v>Do you have policy and procedure, currently implemented, managing how critical patches are applied to all systems and applications?</v>
      </c>
      <c r="C122" s="32" t="s">
        <v>1350</v>
      </c>
      <c r="D122" s="32" t="s">
        <v>1351</v>
      </c>
      <c r="E122" s="234"/>
      <c r="F122" s="235"/>
      <c r="G122" s="235"/>
      <c r="H122" s="235"/>
      <c r="I122" s="235"/>
      <c r="J122" s="235"/>
      <c r="K122" s="235"/>
      <c r="L122" s="235"/>
      <c r="M122" s="235"/>
      <c r="N122" s="235"/>
      <c r="O122" s="235"/>
      <c r="P122" s="235"/>
      <c r="Q122" s="235"/>
      <c r="R122" s="235"/>
      <c r="S122" s="235"/>
      <c r="T122" s="235"/>
      <c r="U122" s="235"/>
      <c r="V122" s="235"/>
      <c r="W122" s="235"/>
      <c r="X122" s="235"/>
      <c r="Y122" s="6"/>
      <c r="Z122" s="6"/>
    </row>
    <row r="123" ht="96.0" customHeight="1">
      <c r="A123" s="51" t="str">
        <f>'HECVAT - Full'!A123</f>
        <v>CHNG-13</v>
      </c>
      <c r="B123" s="62" t="str">
        <f>VLOOKUP(A123,'HECVAT - Full'!A$24:B$312,2,FALSE)</f>
        <v>Do you have policy and procedure, currently implemented, guiding how security risks are mitigated until patches can be applied?</v>
      </c>
      <c r="C123" s="32" t="s">
        <v>1352</v>
      </c>
      <c r="D123" s="32" t="s">
        <v>1353</v>
      </c>
      <c r="E123" s="234"/>
      <c r="F123" s="235"/>
      <c r="G123" s="235"/>
      <c r="H123" s="235"/>
      <c r="I123" s="235"/>
      <c r="J123" s="235"/>
      <c r="K123" s="235"/>
      <c r="L123" s="235"/>
      <c r="M123" s="235"/>
      <c r="N123" s="235"/>
      <c r="O123" s="235"/>
      <c r="P123" s="235"/>
      <c r="Q123" s="235"/>
      <c r="R123" s="235"/>
      <c r="S123" s="235"/>
      <c r="T123" s="235"/>
      <c r="U123" s="235"/>
      <c r="V123" s="235"/>
      <c r="W123" s="235"/>
      <c r="X123" s="235"/>
      <c r="Y123" s="6"/>
      <c r="Z123" s="6"/>
    </row>
    <row r="124" ht="73.5" customHeight="1">
      <c r="A124" s="51" t="str">
        <f>'HECVAT - Full'!A124</f>
        <v>CHNG-14</v>
      </c>
      <c r="B124" s="62" t="str">
        <f>VLOOKUP(A124,'HECVAT - Full'!A$24:B$312,2,FALSE)</f>
        <v>Are upgrades or system changes installed during off-peak hours or in a manner that does not impact the customer?</v>
      </c>
      <c r="C124" s="32" t="s">
        <v>1354</v>
      </c>
      <c r="D124" s="32" t="s">
        <v>1333</v>
      </c>
      <c r="E124" s="234"/>
      <c r="F124" s="235"/>
      <c r="G124" s="235"/>
      <c r="H124" s="235"/>
      <c r="I124" s="235"/>
      <c r="J124" s="235"/>
      <c r="K124" s="235"/>
      <c r="L124" s="235"/>
      <c r="M124" s="235"/>
      <c r="N124" s="235"/>
      <c r="O124" s="235"/>
      <c r="P124" s="235"/>
      <c r="Q124" s="235"/>
      <c r="R124" s="235"/>
      <c r="S124" s="235"/>
      <c r="T124" s="235"/>
      <c r="U124" s="235"/>
      <c r="V124" s="235"/>
      <c r="W124" s="235"/>
      <c r="X124" s="235"/>
      <c r="Y124" s="6"/>
      <c r="Z124" s="6"/>
    </row>
    <row r="125" ht="79.5" customHeight="1">
      <c r="A125" s="51" t="str">
        <f>'HECVAT - Full'!A125</f>
        <v>CHNG-15</v>
      </c>
      <c r="B125" s="62" t="str">
        <f>VLOOKUP(A125,'HECVAT - Full'!A$24:B$312,2,FALSE)</f>
        <v>Do procedures exist to provide that emergency changes are documented and authorized (including after the fact approval)?</v>
      </c>
      <c r="C125" s="32" t="s">
        <v>1355</v>
      </c>
      <c r="D125" s="32" t="s">
        <v>1356</v>
      </c>
      <c r="E125" s="234"/>
      <c r="F125" s="235"/>
      <c r="G125" s="235"/>
      <c r="H125" s="235"/>
      <c r="I125" s="235"/>
      <c r="J125" s="235"/>
      <c r="K125" s="235"/>
      <c r="L125" s="235"/>
      <c r="M125" s="235"/>
      <c r="N125" s="235"/>
      <c r="O125" s="235"/>
      <c r="P125" s="235"/>
      <c r="Q125" s="235"/>
      <c r="R125" s="235"/>
      <c r="S125" s="235"/>
      <c r="T125" s="235"/>
      <c r="U125" s="235"/>
      <c r="V125" s="235"/>
      <c r="W125" s="235"/>
      <c r="X125" s="235"/>
      <c r="Y125" s="6"/>
      <c r="Z125" s="6"/>
    </row>
    <row r="126" ht="36.0" customHeight="1">
      <c r="A126" s="45" t="str">
        <f>IF($C$30="","Data",IF($C$30="Yes","Data - Optional based on QUALIFIER response.","Data"))</f>
        <v>Data</v>
      </c>
      <c r="B126" s="14"/>
      <c r="C126" s="60" t="str">
        <f>$C$22</f>
        <v>Reason for Question</v>
      </c>
      <c r="D126" s="60" t="str">
        <f>$D$22</f>
        <v>Follow-up Inquiries/Responses</v>
      </c>
      <c r="E126" s="184"/>
      <c r="F126" s="181"/>
      <c r="G126" s="181"/>
      <c r="H126" s="181"/>
      <c r="I126" s="181"/>
      <c r="J126" s="181"/>
      <c r="K126" s="181"/>
      <c r="L126" s="181"/>
      <c r="M126" s="181"/>
      <c r="N126" s="181"/>
      <c r="O126" s="181"/>
      <c r="P126" s="181"/>
      <c r="Q126" s="181"/>
      <c r="R126" s="181"/>
      <c r="S126" s="181"/>
      <c r="T126" s="181"/>
      <c r="U126" s="181"/>
      <c r="V126" s="181"/>
      <c r="W126" s="181"/>
      <c r="X126" s="181"/>
      <c r="Y126" s="6"/>
      <c r="Z126" s="6"/>
    </row>
    <row r="127" ht="128.25" customHeight="1">
      <c r="A127" s="51" t="str">
        <f>'HECVAT - Full'!A127</f>
        <v>DATA-01</v>
      </c>
      <c r="B127" s="62" t="str">
        <f>VLOOKUP(A127,'HECVAT - Full'!A$24:B$312,2,FALSE)</f>
        <v>Do you physically and logically separate Institution's data from that of other customers?</v>
      </c>
      <c r="C127" s="32" t="s">
        <v>1260</v>
      </c>
      <c r="D127" s="32" t="s">
        <v>1357</v>
      </c>
      <c r="E127" s="184"/>
      <c r="F127" s="181"/>
      <c r="G127" s="181"/>
      <c r="H127" s="181"/>
      <c r="I127" s="181"/>
      <c r="J127" s="181"/>
      <c r="K127" s="181"/>
      <c r="L127" s="181"/>
      <c r="M127" s="181"/>
      <c r="N127" s="181"/>
      <c r="O127" s="181"/>
      <c r="P127" s="181"/>
      <c r="Q127" s="181"/>
      <c r="R127" s="181"/>
      <c r="S127" s="181"/>
      <c r="T127" s="181"/>
      <c r="U127" s="181"/>
      <c r="V127" s="181"/>
      <c r="W127" s="181"/>
      <c r="X127" s="181"/>
      <c r="Y127" s="6"/>
      <c r="Z127" s="6"/>
    </row>
    <row r="128" ht="74.25" customHeight="1">
      <c r="A128" s="51" t="str">
        <f>'HECVAT - Full'!A128</f>
        <v>DATA-02</v>
      </c>
      <c r="B128" s="62" t="str">
        <f>VLOOKUP(A128,'HECVAT - Full'!A$24:B$312,2,FALSE)</f>
        <v>Will Institution's data be stored on any devices (database servers, file servers, SAN, NAS, …) configured with non-RFC 1918/4193 (i.e. publicly routable) IP addresses?</v>
      </c>
      <c r="C128" s="32" t="s">
        <v>1358</v>
      </c>
      <c r="D128" s="32" t="s">
        <v>1359</v>
      </c>
      <c r="E128" s="184"/>
      <c r="F128" s="181"/>
      <c r="G128" s="181"/>
      <c r="H128" s="181"/>
      <c r="I128" s="181"/>
      <c r="J128" s="181"/>
      <c r="K128" s="181"/>
      <c r="L128" s="181"/>
      <c r="M128" s="181"/>
      <c r="N128" s="181"/>
      <c r="O128" s="181"/>
      <c r="P128" s="181"/>
      <c r="Q128" s="181"/>
      <c r="R128" s="181"/>
      <c r="S128" s="181"/>
      <c r="T128" s="181"/>
      <c r="U128" s="181"/>
      <c r="V128" s="181"/>
      <c r="W128" s="181"/>
      <c r="X128" s="181"/>
      <c r="Y128" s="6"/>
      <c r="Z128" s="6"/>
    </row>
    <row r="129" ht="67.5" customHeight="1">
      <c r="A129" s="51" t="str">
        <f>'HECVAT - Full'!A129</f>
        <v>DATA-03</v>
      </c>
      <c r="B129" s="62" t="str">
        <f>VLOOKUP(A129,'HECVAT - Full'!A$24:B$312,2,FALSE)</f>
        <v>Is sensitive data encrypted in transport? (e.g. system-to-client)</v>
      </c>
      <c r="C129" s="32" t="s">
        <v>1360</v>
      </c>
      <c r="D129" s="32" t="s">
        <v>1361</v>
      </c>
      <c r="E129" s="184"/>
      <c r="F129" s="181"/>
      <c r="G129" s="181"/>
      <c r="H129" s="181"/>
      <c r="I129" s="181"/>
      <c r="J129" s="181"/>
      <c r="K129" s="181"/>
      <c r="L129" s="181"/>
      <c r="M129" s="181"/>
      <c r="N129" s="181"/>
      <c r="O129" s="181"/>
      <c r="P129" s="181"/>
      <c r="Q129" s="181"/>
      <c r="R129" s="181"/>
      <c r="S129" s="181"/>
      <c r="T129" s="181"/>
      <c r="U129" s="181"/>
      <c r="V129" s="181"/>
      <c r="W129" s="181"/>
      <c r="X129" s="181"/>
      <c r="Y129" s="6"/>
      <c r="Z129" s="6"/>
    </row>
    <row r="130" ht="67.5" customHeight="1">
      <c r="A130" s="51" t="str">
        <f>'HECVAT - Full'!A130</f>
        <v>DATA-04</v>
      </c>
      <c r="B130" s="62" t="str">
        <f>VLOOKUP(A130,'HECVAT - Full'!A$24:B$312,2,FALSE)</f>
        <v>Is sensitive data encrypted in storage (e.g. disk encryption, at-rest)?</v>
      </c>
      <c r="C130" s="32" t="s">
        <v>1246</v>
      </c>
      <c r="D130" s="32" t="s">
        <v>1362</v>
      </c>
      <c r="E130" s="184"/>
      <c r="F130" s="181"/>
      <c r="G130" s="181"/>
      <c r="H130" s="181"/>
      <c r="I130" s="181"/>
      <c r="J130" s="181"/>
      <c r="K130" s="181"/>
      <c r="L130" s="181"/>
      <c r="M130" s="181"/>
      <c r="N130" s="181"/>
      <c r="O130" s="181"/>
      <c r="P130" s="181"/>
      <c r="Q130" s="181"/>
      <c r="R130" s="181"/>
      <c r="S130" s="181"/>
      <c r="T130" s="181"/>
      <c r="U130" s="181"/>
      <c r="V130" s="181"/>
      <c r="W130" s="181"/>
      <c r="X130" s="181"/>
      <c r="Y130" s="6"/>
      <c r="Z130" s="6"/>
    </row>
    <row r="131" ht="85.5" customHeight="1">
      <c r="A131" s="51" t="str">
        <f>'HECVAT - Full'!A131</f>
        <v>DATA-05</v>
      </c>
      <c r="B131" s="62" t="str">
        <f>VLOOKUP(A131,'HECVAT - Full'!A$24:B$312,2,FALSE)</f>
        <v>Do you employ or allow any cryptographic modules that do not conform to the Federal Information Processing Standards (FIPS PUB 140-2)?</v>
      </c>
      <c r="C131" s="32" t="s">
        <v>1363</v>
      </c>
      <c r="D131" s="32" t="s">
        <v>1364</v>
      </c>
      <c r="E131" s="184"/>
      <c r="F131" s="181"/>
      <c r="G131" s="181"/>
      <c r="H131" s="181"/>
      <c r="I131" s="181"/>
      <c r="J131" s="181"/>
      <c r="K131" s="181"/>
      <c r="L131" s="181"/>
      <c r="M131" s="181"/>
      <c r="N131" s="181"/>
      <c r="O131" s="181"/>
      <c r="P131" s="181"/>
      <c r="Q131" s="181"/>
      <c r="R131" s="181"/>
      <c r="S131" s="181"/>
      <c r="T131" s="181"/>
      <c r="U131" s="181"/>
      <c r="V131" s="181"/>
      <c r="W131" s="181"/>
      <c r="X131" s="181"/>
      <c r="Y131" s="6"/>
      <c r="Z131" s="6"/>
    </row>
    <row r="132" ht="99.75" customHeight="1">
      <c r="A132" s="51" t="str">
        <f>'HECVAT - Full'!A132</f>
        <v>DATA-06</v>
      </c>
      <c r="B132" s="62" t="str">
        <f>VLOOKUP(A132,'HECVAT - Full'!A$24:B$312,2,FALSE)</f>
        <v>Does your system employ encryption technologies when transmitting sensitive information over TCP/IP networks (e.g., SSH, SSL/TLS, VPN)? (e.g. system-to-system and system-to-client)</v>
      </c>
      <c r="C132" s="32" t="s">
        <v>1365</v>
      </c>
      <c r="D132" s="32" t="s">
        <v>1366</v>
      </c>
      <c r="E132" s="184"/>
      <c r="F132" s="181"/>
      <c r="G132" s="181"/>
      <c r="H132" s="181"/>
      <c r="I132" s="181"/>
      <c r="J132" s="181"/>
      <c r="K132" s="181"/>
      <c r="L132" s="181"/>
      <c r="M132" s="181"/>
      <c r="N132" s="181"/>
      <c r="O132" s="181"/>
      <c r="P132" s="181"/>
      <c r="Q132" s="181"/>
      <c r="R132" s="181"/>
      <c r="S132" s="181"/>
      <c r="T132" s="181"/>
      <c r="U132" s="181"/>
      <c r="V132" s="181"/>
      <c r="W132" s="181"/>
      <c r="X132" s="181"/>
      <c r="Y132" s="6"/>
      <c r="Z132" s="6"/>
    </row>
    <row r="133" ht="85.5" customHeight="1">
      <c r="A133" s="51" t="str">
        <f>'HECVAT - Full'!A133</f>
        <v>DATA-07</v>
      </c>
      <c r="B133" s="62" t="str">
        <f>VLOOKUP(A133,'HECVAT - Full'!A$24:B$312,2,FALSE)</f>
        <v>List all locations (i.e. city + datacenter name) where the institution's data will be stored?</v>
      </c>
      <c r="C133" s="32" t="s">
        <v>1367</v>
      </c>
      <c r="D133" s="32" t="s">
        <v>1368</v>
      </c>
      <c r="E133" s="184"/>
      <c r="F133" s="181"/>
      <c r="G133" s="181"/>
      <c r="H133" s="181"/>
      <c r="I133" s="181"/>
      <c r="J133" s="181"/>
      <c r="K133" s="181"/>
      <c r="L133" s="181"/>
      <c r="M133" s="181"/>
      <c r="N133" s="181"/>
      <c r="O133" s="181"/>
      <c r="P133" s="181"/>
      <c r="Q133" s="181"/>
      <c r="R133" s="181"/>
      <c r="S133" s="181"/>
      <c r="T133" s="181"/>
      <c r="U133" s="181"/>
      <c r="V133" s="181"/>
      <c r="W133" s="181"/>
      <c r="X133" s="181"/>
      <c r="Y133" s="6"/>
      <c r="Z133" s="6"/>
    </row>
    <row r="134" ht="76.5" customHeight="1">
      <c r="A134" s="51" t="str">
        <f>'HECVAT - Full'!A134</f>
        <v>DATA-08</v>
      </c>
      <c r="B134" s="62" t="str">
        <f>VLOOKUP(A134,'HECVAT - Full'!A$24:B$312,2,FALSE)</f>
        <v>At the completion of this contract, will data be returned to the institution?</v>
      </c>
      <c r="C134" s="32" t="s">
        <v>1369</v>
      </c>
      <c r="D134" s="32" t="s">
        <v>1370</v>
      </c>
      <c r="E134" s="184"/>
      <c r="F134" s="181"/>
      <c r="G134" s="181"/>
      <c r="H134" s="181"/>
      <c r="I134" s="181"/>
      <c r="J134" s="181"/>
      <c r="K134" s="181"/>
      <c r="L134" s="181"/>
      <c r="M134" s="181"/>
      <c r="N134" s="181"/>
      <c r="O134" s="181"/>
      <c r="P134" s="181"/>
      <c r="Q134" s="181"/>
      <c r="R134" s="181"/>
      <c r="S134" s="181"/>
      <c r="T134" s="181"/>
      <c r="U134" s="181"/>
      <c r="V134" s="181"/>
      <c r="W134" s="181"/>
      <c r="X134" s="181"/>
      <c r="Y134" s="6"/>
      <c r="Z134" s="6"/>
    </row>
    <row r="135" ht="71.25" customHeight="1">
      <c r="A135" s="51" t="str">
        <f>'HECVAT - Full'!A135</f>
        <v>DATA-09</v>
      </c>
      <c r="B135" s="62" t="str">
        <f>VLOOKUP(A135,'HECVAT - Full'!A$24:B$312,2,FALSE)</f>
        <v>Will the institution's data be available within the system for a period of time at the completion of this contract?</v>
      </c>
      <c r="C135" s="32" t="s">
        <v>1369</v>
      </c>
      <c r="D135" s="32" t="s">
        <v>1370</v>
      </c>
      <c r="E135" s="184"/>
      <c r="F135" s="181"/>
      <c r="G135" s="181"/>
      <c r="H135" s="181"/>
      <c r="I135" s="181"/>
      <c r="J135" s="181"/>
      <c r="K135" s="181"/>
      <c r="L135" s="181"/>
      <c r="M135" s="181"/>
      <c r="N135" s="181"/>
      <c r="O135" s="181"/>
      <c r="P135" s="181"/>
      <c r="Q135" s="181"/>
      <c r="R135" s="181"/>
      <c r="S135" s="181"/>
      <c r="T135" s="181"/>
      <c r="U135" s="181"/>
      <c r="V135" s="181"/>
      <c r="W135" s="181"/>
      <c r="X135" s="181"/>
      <c r="Y135" s="6"/>
      <c r="Z135" s="6"/>
    </row>
    <row r="136" ht="71.25" customHeight="1">
      <c r="A136" s="51" t="str">
        <f>'HECVAT - Full'!A136</f>
        <v>DATA-10</v>
      </c>
      <c r="B136" s="62" t="str">
        <f>VLOOKUP(A136,'HECVAT - Full'!A$24:B$312,2,FALSE)</f>
        <v>Can the institution extract a full backup of data?</v>
      </c>
      <c r="C136" s="32" t="s">
        <v>1371</v>
      </c>
      <c r="D136" s="32" t="s">
        <v>1370</v>
      </c>
      <c r="E136" s="184"/>
      <c r="F136" s="181"/>
      <c r="G136" s="181"/>
      <c r="H136" s="181"/>
      <c r="I136" s="181"/>
      <c r="J136" s="181"/>
      <c r="K136" s="181"/>
      <c r="L136" s="181"/>
      <c r="M136" s="181"/>
      <c r="N136" s="181"/>
      <c r="O136" s="181"/>
      <c r="P136" s="181"/>
      <c r="Q136" s="181"/>
      <c r="R136" s="181"/>
      <c r="S136" s="181"/>
      <c r="T136" s="181"/>
      <c r="U136" s="181"/>
      <c r="V136" s="181"/>
      <c r="W136" s="181"/>
      <c r="X136" s="181"/>
      <c r="Y136" s="6"/>
      <c r="Z136" s="6"/>
    </row>
    <row r="137" ht="92.25" customHeight="1">
      <c r="A137" s="51" t="str">
        <f>'HECVAT - Full'!A137</f>
        <v>DATA-11</v>
      </c>
      <c r="B137" s="62" t="str">
        <f>VLOOKUP(A137,'HECVAT - Full'!A$24:B$312,2,FALSE)</f>
        <v>Are ownership rights to all data, inputs, outputs, and metadata retained by the institution?</v>
      </c>
      <c r="C137" s="32" t="s">
        <v>1372</v>
      </c>
      <c r="D137" s="32" t="s">
        <v>1373</v>
      </c>
      <c r="E137" s="184"/>
      <c r="F137" s="181"/>
      <c r="G137" s="181"/>
      <c r="H137" s="181"/>
      <c r="I137" s="181"/>
      <c r="J137" s="181"/>
      <c r="K137" s="181"/>
      <c r="L137" s="181"/>
      <c r="M137" s="181"/>
      <c r="N137" s="181"/>
      <c r="O137" s="181"/>
      <c r="P137" s="181"/>
      <c r="Q137" s="181"/>
      <c r="R137" s="181"/>
      <c r="S137" s="181"/>
      <c r="T137" s="181"/>
      <c r="U137" s="181"/>
      <c r="V137" s="181"/>
      <c r="W137" s="181"/>
      <c r="X137" s="181"/>
      <c r="Y137" s="6"/>
      <c r="Z137" s="6"/>
    </row>
    <row r="138" ht="63.75" customHeight="1">
      <c r="A138" s="51" t="str">
        <f>'HECVAT - Full'!A138</f>
        <v>DATA-12</v>
      </c>
      <c r="B138" s="62" t="str">
        <f>VLOOKUP(A138,'HECVAT - Full'!A$24:B$312,2,FALSE)</f>
        <v>Are these rights retained even through a provider acquisition or bankruptcy event?</v>
      </c>
      <c r="C138" s="32" t="s">
        <v>1374</v>
      </c>
      <c r="D138" s="32" t="s">
        <v>1373</v>
      </c>
      <c r="E138" s="184"/>
      <c r="F138" s="181"/>
      <c r="G138" s="181"/>
      <c r="H138" s="181"/>
      <c r="I138" s="181"/>
      <c r="J138" s="181"/>
      <c r="K138" s="181"/>
      <c r="L138" s="181"/>
      <c r="M138" s="181"/>
      <c r="N138" s="181"/>
      <c r="O138" s="181"/>
      <c r="P138" s="181"/>
      <c r="Q138" s="181"/>
      <c r="R138" s="181"/>
      <c r="S138" s="181"/>
      <c r="T138" s="181"/>
      <c r="U138" s="181"/>
      <c r="V138" s="181"/>
      <c r="W138" s="181"/>
      <c r="X138" s="181"/>
      <c r="Y138" s="6"/>
      <c r="Z138" s="6"/>
    </row>
    <row r="139" ht="64.5" customHeight="1">
      <c r="A139" s="51" t="str">
        <f>'HECVAT - Full'!A139</f>
        <v>DATA-13</v>
      </c>
      <c r="B139" s="62" t="str">
        <f>VLOOKUP(A139,'HECVAT - Full'!A$24:B$312,2,FALSE)</f>
        <v>In the event of imminent bankruptcy, closing of business, or retirement of service, will you provide 90 days for customers to get their data out of the system and migrate applications?</v>
      </c>
      <c r="C139" s="32" t="s">
        <v>1374</v>
      </c>
      <c r="D139" s="32" t="s">
        <v>1373</v>
      </c>
      <c r="E139" s="184"/>
      <c r="F139" s="181"/>
      <c r="G139" s="181"/>
      <c r="H139" s="181"/>
      <c r="I139" s="181"/>
      <c r="J139" s="181"/>
      <c r="K139" s="181"/>
      <c r="L139" s="181"/>
      <c r="M139" s="181"/>
      <c r="N139" s="181"/>
      <c r="O139" s="181"/>
      <c r="P139" s="181"/>
      <c r="Q139" s="181"/>
      <c r="R139" s="181"/>
      <c r="S139" s="181"/>
      <c r="T139" s="181"/>
      <c r="U139" s="181"/>
      <c r="V139" s="181"/>
      <c r="W139" s="181"/>
      <c r="X139" s="181"/>
      <c r="Y139" s="6"/>
      <c r="Z139" s="6"/>
    </row>
    <row r="140" ht="63.0" customHeight="1">
      <c r="A140" s="51" t="str">
        <f>'HECVAT - Full'!A140</f>
        <v>DATA-14</v>
      </c>
      <c r="B140" s="62" t="str">
        <f>VLOOKUP(A140,'HECVAT - Full'!A$24:B$312,2,FALSE)</f>
        <v>Describe or provide a reference to the backup processes for the servers on which the service and/or data resides. </v>
      </c>
      <c r="C140" s="32" t="s">
        <v>1375</v>
      </c>
      <c r="D140" s="32" t="s">
        <v>1376</v>
      </c>
      <c r="E140" s="184"/>
      <c r="F140" s="181"/>
      <c r="G140" s="181"/>
      <c r="H140" s="181"/>
      <c r="I140" s="181"/>
      <c r="J140" s="181"/>
      <c r="K140" s="181"/>
      <c r="L140" s="181"/>
      <c r="M140" s="181"/>
      <c r="N140" s="181"/>
      <c r="O140" s="181"/>
      <c r="P140" s="181"/>
      <c r="Q140" s="181"/>
      <c r="R140" s="181"/>
      <c r="S140" s="181"/>
      <c r="T140" s="181"/>
      <c r="U140" s="181"/>
      <c r="V140" s="181"/>
      <c r="W140" s="181"/>
      <c r="X140" s="181"/>
      <c r="Y140" s="6"/>
      <c r="Z140" s="6"/>
    </row>
    <row r="141" ht="80.25" customHeight="1">
      <c r="A141" s="51" t="str">
        <f>'HECVAT - Full'!A141</f>
        <v>DATA-15</v>
      </c>
      <c r="B141" s="62" t="str">
        <f>VLOOKUP(A141,'HECVAT - Full'!A$24:B$312,2,FALSE)</f>
        <v>Are backup copies made according to pre-defined schedules and securely stored and protected?</v>
      </c>
      <c r="C141" s="32" t="s">
        <v>1377</v>
      </c>
      <c r="D141" s="32" t="s">
        <v>1378</v>
      </c>
      <c r="E141" s="184"/>
      <c r="F141" s="181"/>
      <c r="G141" s="181"/>
      <c r="H141" s="181"/>
      <c r="I141" s="181"/>
      <c r="J141" s="181"/>
      <c r="K141" s="181"/>
      <c r="L141" s="181"/>
      <c r="M141" s="181"/>
      <c r="N141" s="181"/>
      <c r="O141" s="181"/>
      <c r="P141" s="181"/>
      <c r="Q141" s="181"/>
      <c r="R141" s="181"/>
      <c r="S141" s="181"/>
      <c r="T141" s="181"/>
      <c r="U141" s="181"/>
      <c r="V141" s="181"/>
      <c r="W141" s="181"/>
      <c r="X141" s="181"/>
      <c r="Y141" s="6"/>
      <c r="Z141" s="6"/>
    </row>
    <row r="142" ht="64.5" customHeight="1">
      <c r="A142" s="51" t="str">
        <f>'HECVAT - Full'!A142</f>
        <v>DATA-16</v>
      </c>
      <c r="B142" s="62" t="str">
        <f>VLOOKUP(A142,'HECVAT - Full'!A$24:B$312,2,FALSE)</f>
        <v>How long are data backups stored?</v>
      </c>
      <c r="C142" s="32" t="s">
        <v>1379</v>
      </c>
      <c r="D142" s="32" t="s">
        <v>1380</v>
      </c>
      <c r="E142" s="184"/>
      <c r="F142" s="181"/>
      <c r="G142" s="181"/>
      <c r="H142" s="181"/>
      <c r="I142" s="181"/>
      <c r="J142" s="181"/>
      <c r="K142" s="181"/>
      <c r="L142" s="181"/>
      <c r="M142" s="181"/>
      <c r="N142" s="181"/>
      <c r="O142" s="181"/>
      <c r="P142" s="181"/>
      <c r="Q142" s="181"/>
      <c r="R142" s="181"/>
      <c r="S142" s="181"/>
      <c r="T142" s="181"/>
      <c r="U142" s="181"/>
      <c r="V142" s="181"/>
      <c r="W142" s="181"/>
      <c r="X142" s="181"/>
      <c r="Y142" s="6"/>
      <c r="Z142" s="6"/>
    </row>
    <row r="143" ht="71.25" customHeight="1">
      <c r="A143" s="51" t="str">
        <f>'HECVAT - Full'!A143</f>
        <v>DATA-17</v>
      </c>
      <c r="B143" s="62" t="str">
        <f>VLOOKUP(A143,'HECVAT - Full'!A$24:B$312,2,FALSE)</f>
        <v>Are data backups encrypted?</v>
      </c>
      <c r="C143" s="32" t="s">
        <v>1381</v>
      </c>
      <c r="D143" s="32" t="s">
        <v>1382</v>
      </c>
      <c r="E143" s="184"/>
      <c r="F143" s="181"/>
      <c r="G143" s="181"/>
      <c r="H143" s="181"/>
      <c r="I143" s="181"/>
      <c r="J143" s="181"/>
      <c r="K143" s="181"/>
      <c r="L143" s="181"/>
      <c r="M143" s="181"/>
      <c r="N143" s="181"/>
      <c r="O143" s="181"/>
      <c r="P143" s="181"/>
      <c r="Q143" s="181"/>
      <c r="R143" s="181"/>
      <c r="S143" s="181"/>
      <c r="T143" s="181"/>
      <c r="U143" s="181"/>
      <c r="V143" s="181"/>
      <c r="W143" s="181"/>
      <c r="X143" s="181"/>
      <c r="Y143" s="6"/>
      <c r="Z143" s="6"/>
    </row>
    <row r="144" ht="114.0" customHeight="1">
      <c r="A144" s="51" t="str">
        <f>'HECVAT - Full'!A144</f>
        <v>DATA-18</v>
      </c>
      <c r="B144" s="62" t="str">
        <f>VLOOKUP(A144,'HECVAT - Full'!A$24:B$312,2,FALSE)</f>
        <v>Do you have a cryptographic key management process (generation, exchange, storage, safeguards, use, vetting, and replacement), that is documented and currently implemented, for all system components? (e.g. database, system, web, etc.)</v>
      </c>
      <c r="C144" s="32" t="s">
        <v>1383</v>
      </c>
      <c r="D144" s="32" t="s">
        <v>1384</v>
      </c>
      <c r="E144" s="184"/>
      <c r="F144" s="181"/>
      <c r="G144" s="181"/>
      <c r="H144" s="181"/>
      <c r="I144" s="181"/>
      <c r="J144" s="181"/>
      <c r="K144" s="181"/>
      <c r="L144" s="181"/>
      <c r="M144" s="181"/>
      <c r="N144" s="181"/>
      <c r="O144" s="181"/>
      <c r="P144" s="181"/>
      <c r="Q144" s="181"/>
      <c r="R144" s="181"/>
      <c r="S144" s="181"/>
      <c r="T144" s="181"/>
      <c r="U144" s="181"/>
      <c r="V144" s="181"/>
      <c r="W144" s="181"/>
      <c r="X144" s="181"/>
      <c r="Y144" s="6"/>
      <c r="Z144" s="6"/>
    </row>
    <row r="145" ht="63.75" customHeight="1">
      <c r="A145" s="51" t="str">
        <f>'HECVAT - Full'!A145</f>
        <v>DATA-19</v>
      </c>
      <c r="B145" s="62" t="str">
        <f>VLOOKUP(A145,'HECVAT - Full'!A$24:B$312,2,FALSE)</f>
        <v>Do current backups include all operating system software, utilities, security software, application software, and data files necessary for recovery?</v>
      </c>
      <c r="C145" s="32" t="s">
        <v>1385</v>
      </c>
      <c r="D145" s="32" t="s">
        <v>1386</v>
      </c>
      <c r="E145" s="184"/>
      <c r="F145" s="181"/>
      <c r="G145" s="181"/>
      <c r="H145" s="181"/>
      <c r="I145" s="181"/>
      <c r="J145" s="181"/>
      <c r="K145" s="181"/>
      <c r="L145" s="181"/>
      <c r="M145" s="181"/>
      <c r="N145" s="181"/>
      <c r="O145" s="181"/>
      <c r="P145" s="181"/>
      <c r="Q145" s="181"/>
      <c r="R145" s="181"/>
      <c r="S145" s="181"/>
      <c r="T145" s="181"/>
      <c r="U145" s="181"/>
      <c r="V145" s="181"/>
      <c r="W145" s="181"/>
      <c r="X145" s="181"/>
      <c r="Y145" s="6"/>
      <c r="Z145" s="6"/>
    </row>
    <row r="146" ht="85.5" customHeight="1">
      <c r="A146" s="51" t="str">
        <f>'HECVAT - Full'!A146</f>
        <v>DATA-20</v>
      </c>
      <c r="B146" s="62" t="str">
        <f>VLOOKUP(A146,'HECVAT - Full'!A$24:B$312,2,FALSE)</f>
        <v>Are you performing off site backups? (i.e. digitally moved off site)</v>
      </c>
      <c r="C146" s="32" t="s">
        <v>1387</v>
      </c>
      <c r="D146" s="32" t="s">
        <v>1388</v>
      </c>
      <c r="E146" s="184"/>
      <c r="F146" s="181"/>
      <c r="G146" s="181"/>
      <c r="H146" s="181"/>
      <c r="I146" s="181"/>
      <c r="J146" s="181"/>
      <c r="K146" s="181"/>
      <c r="L146" s="181"/>
      <c r="M146" s="181"/>
      <c r="N146" s="181"/>
      <c r="O146" s="181"/>
      <c r="P146" s="181"/>
      <c r="Q146" s="181"/>
      <c r="R146" s="181"/>
      <c r="S146" s="181"/>
      <c r="T146" s="181"/>
      <c r="U146" s="181"/>
      <c r="V146" s="181"/>
      <c r="W146" s="181"/>
      <c r="X146" s="181"/>
      <c r="Y146" s="6"/>
      <c r="Z146" s="6"/>
    </row>
    <row r="147" ht="71.25" customHeight="1">
      <c r="A147" s="51" t="str">
        <f>'HECVAT - Full'!A147</f>
        <v>DATA-21</v>
      </c>
      <c r="B147" s="62" t="str">
        <f>VLOOKUP(A147,'HECVAT - Full'!A$24:B$312,2,FALSE)</f>
        <v>Are physical backups taken off site? (i.e. physically moved off site)</v>
      </c>
      <c r="C147" s="32" t="s">
        <v>1389</v>
      </c>
      <c r="D147" s="32" t="s">
        <v>1390</v>
      </c>
      <c r="E147" s="184"/>
      <c r="F147" s="181"/>
      <c r="G147" s="181"/>
      <c r="H147" s="181"/>
      <c r="I147" s="181"/>
      <c r="J147" s="181"/>
      <c r="K147" s="181"/>
      <c r="L147" s="181"/>
      <c r="M147" s="181"/>
      <c r="N147" s="181"/>
      <c r="O147" s="181"/>
      <c r="P147" s="181"/>
      <c r="Q147" s="181"/>
      <c r="R147" s="181"/>
      <c r="S147" s="181"/>
      <c r="T147" s="181"/>
      <c r="U147" s="181"/>
      <c r="V147" s="181"/>
      <c r="W147" s="181"/>
      <c r="X147" s="181"/>
      <c r="Y147" s="6"/>
      <c r="Z147" s="6"/>
    </row>
    <row r="148" ht="85.5" customHeight="1">
      <c r="A148" s="51" t="str">
        <f>'HECVAT - Full'!A148</f>
        <v>DATA-22</v>
      </c>
      <c r="B148" s="62" t="str">
        <f>VLOOKUP(A148,'HECVAT - Full'!A$24:B$312,2,FALSE)</f>
        <v>Do backups containing the institution's data ever leave the Institution's Data Zone either physically or via network routing?</v>
      </c>
      <c r="C148" s="32" t="s">
        <v>1391</v>
      </c>
      <c r="D148" s="32" t="s">
        <v>1392</v>
      </c>
      <c r="E148" s="184"/>
      <c r="F148" s="181"/>
      <c r="G148" s="181"/>
      <c r="H148" s="181"/>
      <c r="I148" s="181"/>
      <c r="J148" s="181"/>
      <c r="K148" s="181"/>
      <c r="L148" s="181"/>
      <c r="M148" s="181"/>
      <c r="N148" s="181"/>
      <c r="O148" s="181"/>
      <c r="P148" s="181"/>
      <c r="Q148" s="181"/>
      <c r="R148" s="181"/>
      <c r="S148" s="181"/>
      <c r="T148" s="181"/>
      <c r="U148" s="181"/>
      <c r="V148" s="181"/>
      <c r="W148" s="181"/>
      <c r="X148" s="181"/>
      <c r="Y148" s="6"/>
      <c r="Z148" s="6"/>
    </row>
    <row r="149" ht="84.0" customHeight="1">
      <c r="A149" s="51" t="str">
        <f>'HECVAT - Full'!A149</f>
        <v>DATA-23</v>
      </c>
      <c r="B149" s="62" t="str">
        <f>VLOOKUP(A149,'HECVAT - Full'!A$24:B$312,2,FALSE)</f>
        <v>Do you have a media handling process, that is documented and currently implemented, including end-of-life, repurposing, and data sanitization procedures?</v>
      </c>
      <c r="C149" s="32" t="s">
        <v>1393</v>
      </c>
      <c r="D149" s="32" t="s">
        <v>1394</v>
      </c>
      <c r="E149" s="184"/>
      <c r="F149" s="181"/>
      <c r="G149" s="181"/>
      <c r="H149" s="181"/>
      <c r="I149" s="181"/>
      <c r="J149" s="181"/>
      <c r="K149" s="181"/>
      <c r="L149" s="181"/>
      <c r="M149" s="181"/>
      <c r="N149" s="181"/>
      <c r="O149" s="181"/>
      <c r="P149" s="181"/>
      <c r="Q149" s="181"/>
      <c r="R149" s="181"/>
      <c r="S149" s="181"/>
      <c r="T149" s="181"/>
      <c r="U149" s="181"/>
      <c r="V149" s="181"/>
      <c r="W149" s="181"/>
      <c r="X149" s="181"/>
      <c r="Y149" s="6"/>
      <c r="Z149" s="6"/>
    </row>
    <row r="150" ht="85.5" customHeight="1">
      <c r="A150" s="51" t="str">
        <f>'HECVAT - Full'!A150</f>
        <v>DATA-24</v>
      </c>
      <c r="B150" s="62" t="str">
        <f>VLOOKUP(A150,'HECVAT - Full'!A$24:B$312,2,FALSE)</f>
        <v>Does the process described in DATA-23 adhere to DoD 5220.22-M and/or NIST SP 800-88 standards?</v>
      </c>
      <c r="C150" s="32" t="s">
        <v>1393</v>
      </c>
      <c r="D150" s="32" t="s">
        <v>1395</v>
      </c>
      <c r="E150" s="184"/>
      <c r="F150" s="181"/>
      <c r="G150" s="181"/>
      <c r="H150" s="181"/>
      <c r="I150" s="181"/>
      <c r="J150" s="181"/>
      <c r="K150" s="181"/>
      <c r="L150" s="181"/>
      <c r="M150" s="181"/>
      <c r="N150" s="181"/>
      <c r="O150" s="181"/>
      <c r="P150" s="181"/>
      <c r="Q150" s="181"/>
      <c r="R150" s="181"/>
      <c r="S150" s="181"/>
      <c r="T150" s="181"/>
      <c r="U150" s="181"/>
      <c r="V150" s="181"/>
      <c r="W150" s="181"/>
      <c r="X150" s="181"/>
      <c r="Y150" s="6"/>
      <c r="Z150" s="6"/>
    </row>
    <row r="151" ht="64.5" customHeight="1">
      <c r="A151" s="51" t="str">
        <f>'HECVAT - Full'!A151</f>
        <v>DATA-25</v>
      </c>
      <c r="B151" s="62" t="str">
        <f>VLOOKUP(A151,'HECVAT - Full'!A$24:B$312,2,FALSE)</f>
        <v>Do procedures exist to ensure that retention and destruction of data meets established business and regulatory requirements?</v>
      </c>
      <c r="C151" s="32" t="s">
        <v>1379</v>
      </c>
      <c r="D151" s="32" t="s">
        <v>1396</v>
      </c>
      <c r="E151" s="184"/>
      <c r="F151" s="181"/>
      <c r="G151" s="181"/>
      <c r="H151" s="181"/>
      <c r="I151" s="181"/>
      <c r="J151" s="181"/>
      <c r="K151" s="181"/>
      <c r="L151" s="181"/>
      <c r="M151" s="181"/>
      <c r="N151" s="181"/>
      <c r="O151" s="181"/>
      <c r="P151" s="181"/>
      <c r="Q151" s="181"/>
      <c r="R151" s="181"/>
      <c r="S151" s="181"/>
      <c r="T151" s="181"/>
      <c r="U151" s="181"/>
      <c r="V151" s="181"/>
      <c r="W151" s="181"/>
      <c r="X151" s="181"/>
      <c r="Y151" s="6"/>
      <c r="Z151" s="6"/>
    </row>
    <row r="152" ht="85.5" customHeight="1">
      <c r="A152" s="51" t="str">
        <f>'HECVAT - Full'!A152</f>
        <v>DATA-26</v>
      </c>
      <c r="B152" s="62" t="str">
        <f>VLOOKUP(A152,'HECVAT - Full'!A$24:B$312,2,FALSE)</f>
        <v>Is media used for long-term retention of business data and archival purposes stored in a secure, environmentally protected area?</v>
      </c>
      <c r="C152" s="32" t="s">
        <v>1393</v>
      </c>
      <c r="D152" s="32" t="s">
        <v>1394</v>
      </c>
      <c r="E152" s="184"/>
      <c r="F152" s="181"/>
      <c r="G152" s="181"/>
      <c r="H152" s="181"/>
      <c r="I152" s="181"/>
      <c r="J152" s="181"/>
      <c r="K152" s="181"/>
      <c r="L152" s="181"/>
      <c r="M152" s="181"/>
      <c r="N152" s="181"/>
      <c r="O152" s="181"/>
      <c r="P152" s="181"/>
      <c r="Q152" s="181"/>
      <c r="R152" s="181"/>
      <c r="S152" s="181"/>
      <c r="T152" s="181"/>
      <c r="U152" s="181"/>
      <c r="V152" s="181"/>
      <c r="W152" s="181"/>
      <c r="X152" s="181"/>
      <c r="Y152" s="6"/>
      <c r="Z152" s="6"/>
    </row>
    <row r="153" ht="48.0" customHeight="1">
      <c r="A153" s="51" t="str">
        <f>'HECVAT - Full'!A153</f>
        <v>DATA-27</v>
      </c>
      <c r="B153" s="62" t="str">
        <f>VLOOKUP(A153,'HECVAT - Full'!A$24:B$312,2,FALSE)</f>
        <v>Will you handle data in a FERPA compliant manner?</v>
      </c>
      <c r="C153" s="32" t="s">
        <v>1397</v>
      </c>
      <c r="D153" s="32" t="s">
        <v>1398</v>
      </c>
      <c r="E153" s="184"/>
      <c r="F153" s="181"/>
      <c r="G153" s="181"/>
      <c r="H153" s="181"/>
      <c r="I153" s="181"/>
      <c r="J153" s="181"/>
      <c r="K153" s="181"/>
      <c r="L153" s="181"/>
      <c r="M153" s="181"/>
      <c r="N153" s="181"/>
      <c r="O153" s="181"/>
      <c r="P153" s="181"/>
      <c r="Q153" s="181"/>
      <c r="R153" s="181"/>
      <c r="S153" s="181"/>
      <c r="T153" s="181"/>
      <c r="U153" s="181"/>
      <c r="V153" s="181"/>
      <c r="W153" s="181"/>
      <c r="X153" s="181"/>
      <c r="Y153" s="6"/>
      <c r="Z153" s="6"/>
    </row>
    <row r="154" ht="96.0" customHeight="1">
      <c r="A154" s="51" t="str">
        <f>'HECVAT - Full'!A154</f>
        <v>DATA-28</v>
      </c>
      <c r="B154" s="62" t="str">
        <f>VLOOKUP(A154,'HECVAT - Full'!A$24:B$312,2,FALSE)</f>
        <v>Is any institution data visible in system administration modules/tools?</v>
      </c>
      <c r="C154" s="32" t="s">
        <v>1399</v>
      </c>
      <c r="D154" s="32" t="s">
        <v>1400</v>
      </c>
      <c r="E154" s="184"/>
      <c r="F154" s="181"/>
      <c r="G154" s="181"/>
      <c r="H154" s="181"/>
      <c r="I154" s="181"/>
      <c r="J154" s="181"/>
      <c r="K154" s="181"/>
      <c r="L154" s="181"/>
      <c r="M154" s="181"/>
      <c r="N154" s="181"/>
      <c r="O154" s="181"/>
      <c r="P154" s="181"/>
      <c r="Q154" s="181"/>
      <c r="R154" s="181"/>
      <c r="S154" s="181"/>
      <c r="T154" s="181"/>
      <c r="U154" s="181"/>
      <c r="V154" s="181"/>
      <c r="W154" s="181"/>
      <c r="X154" s="181"/>
      <c r="Y154" s="6"/>
      <c r="Z154" s="6"/>
    </row>
    <row r="155" ht="36.0" customHeight="1">
      <c r="A155" s="45" t="str">
        <f>IF($C$30="","Database",IF($C$30="Yes","Database - Optional based on QUALIFIER response.","Database"))</f>
        <v>Database</v>
      </c>
      <c r="B155" s="14"/>
      <c r="C155" s="60" t="str">
        <f>$C$22</f>
        <v>Reason for Question</v>
      </c>
      <c r="D155" s="60" t="str">
        <f>$D$22</f>
        <v>Follow-up Inquiries/Responses</v>
      </c>
      <c r="E155" s="184"/>
      <c r="F155" s="181"/>
      <c r="G155" s="181"/>
      <c r="H155" s="181"/>
      <c r="I155" s="181"/>
      <c r="J155" s="181"/>
      <c r="K155" s="181"/>
      <c r="L155" s="181"/>
      <c r="M155" s="181"/>
      <c r="N155" s="181"/>
      <c r="O155" s="181"/>
      <c r="P155" s="181"/>
      <c r="Q155" s="181"/>
      <c r="R155" s="181"/>
      <c r="S155" s="181"/>
      <c r="T155" s="181"/>
      <c r="U155" s="181"/>
      <c r="V155" s="181"/>
      <c r="W155" s="181"/>
      <c r="X155" s="181"/>
      <c r="Y155" s="6"/>
      <c r="Z155" s="6"/>
    </row>
    <row r="156" ht="99.75" customHeight="1">
      <c r="A156" s="51" t="str">
        <f>'HECVAT - Full'!A156</f>
        <v>DBAS-01</v>
      </c>
      <c r="B156" s="62" t="str">
        <f>VLOOKUP(A156,'HECVAT - Full'!A$24:B$312,2,FALSE)</f>
        <v>Does the database support encryption of specified data elements in storage?</v>
      </c>
      <c r="C156" s="32" t="s">
        <v>1401</v>
      </c>
      <c r="D156" s="32" t="s">
        <v>1402</v>
      </c>
      <c r="E156" s="184"/>
      <c r="F156" s="181"/>
      <c r="G156" s="181"/>
      <c r="H156" s="181"/>
      <c r="I156" s="181"/>
      <c r="J156" s="181"/>
      <c r="K156" s="181"/>
      <c r="L156" s="181"/>
      <c r="M156" s="181"/>
      <c r="N156" s="181"/>
      <c r="O156" s="181"/>
      <c r="P156" s="181"/>
      <c r="Q156" s="181"/>
      <c r="R156" s="181"/>
      <c r="S156" s="181"/>
      <c r="T156" s="181"/>
      <c r="U156" s="181"/>
      <c r="V156" s="181"/>
      <c r="W156" s="181"/>
      <c r="X156" s="181"/>
      <c r="Y156" s="6"/>
      <c r="Z156" s="6"/>
    </row>
    <row r="157" ht="99.75" customHeight="1">
      <c r="A157" s="51" t="str">
        <f>'HECVAT - Full'!A157</f>
        <v>DBAS-02</v>
      </c>
      <c r="B157" s="62" t="str">
        <f>VLOOKUP(A157,'HECVAT - Full'!A$24:B$312,2,FALSE)</f>
        <v>Do you currently use encryption in your database(s)?</v>
      </c>
      <c r="C157" s="32" t="s">
        <v>1403</v>
      </c>
      <c r="D157" s="32" t="s">
        <v>1404</v>
      </c>
      <c r="E157" s="184"/>
      <c r="F157" s="181"/>
      <c r="G157" s="181"/>
      <c r="H157" s="181"/>
      <c r="I157" s="181"/>
      <c r="J157" s="181"/>
      <c r="K157" s="181"/>
      <c r="L157" s="181"/>
      <c r="M157" s="181"/>
      <c r="N157" s="181"/>
      <c r="O157" s="181"/>
      <c r="P157" s="181"/>
      <c r="Q157" s="181"/>
      <c r="R157" s="181"/>
      <c r="S157" s="181"/>
      <c r="T157" s="181"/>
      <c r="U157" s="181"/>
      <c r="V157" s="181"/>
      <c r="W157" s="181"/>
      <c r="X157" s="181"/>
      <c r="Y157" s="6"/>
      <c r="Z157" s="6"/>
    </row>
    <row r="158" ht="36.0" customHeight="1">
      <c r="A158" s="45" t="str">
        <f>IF($C$30="","Datacenter",IF($C$30="Yes","Datacenter - Optional based on QUALIFIER response.","Datacenter"))</f>
        <v>Datacenter</v>
      </c>
      <c r="B158" s="14"/>
      <c r="C158" s="60" t="str">
        <f>$C$22</f>
        <v>Reason for Question</v>
      </c>
      <c r="D158" s="60" t="str">
        <f>$D$22</f>
        <v>Follow-up Inquiries/Responses</v>
      </c>
      <c r="E158" s="184"/>
      <c r="F158" s="181"/>
      <c r="G158" s="181"/>
      <c r="H158" s="181"/>
      <c r="I158" s="181"/>
      <c r="J158" s="181"/>
      <c r="K158" s="181"/>
      <c r="L158" s="181"/>
      <c r="M158" s="181"/>
      <c r="N158" s="181"/>
      <c r="O158" s="181"/>
      <c r="P158" s="181"/>
      <c r="Q158" s="181"/>
      <c r="R158" s="181"/>
      <c r="S158" s="181"/>
      <c r="T158" s="181"/>
      <c r="U158" s="181"/>
      <c r="V158" s="181"/>
      <c r="W158" s="181"/>
      <c r="X158" s="181"/>
      <c r="Y158" s="6"/>
      <c r="Z158" s="6"/>
    </row>
    <row r="159" ht="63.75" customHeight="1">
      <c r="A159" s="51" t="str">
        <f>'HECVAT - Full'!A159</f>
        <v>DCTR-01</v>
      </c>
      <c r="B159" s="62" t="str">
        <f>VLOOKUP(A159,'HECVAT - Full'!A$24:B$312,2,FALSE)</f>
        <v>Does your company own the physical data center where the Institution's data will reside?</v>
      </c>
      <c r="C159" s="32" t="s">
        <v>1405</v>
      </c>
      <c r="D159" s="32" t="s">
        <v>1406</v>
      </c>
      <c r="E159" s="184"/>
      <c r="F159" s="181"/>
      <c r="G159" s="181"/>
      <c r="H159" s="181"/>
      <c r="I159" s="181"/>
      <c r="J159" s="181"/>
      <c r="K159" s="181"/>
      <c r="L159" s="181"/>
      <c r="M159" s="181"/>
      <c r="N159" s="181"/>
      <c r="O159" s="181"/>
      <c r="P159" s="181"/>
      <c r="Q159" s="181"/>
      <c r="R159" s="181"/>
      <c r="S159" s="181"/>
      <c r="T159" s="181"/>
      <c r="U159" s="181"/>
      <c r="V159" s="181"/>
      <c r="W159" s="181"/>
      <c r="X159" s="181"/>
      <c r="Y159" s="6"/>
      <c r="Z159" s="6"/>
    </row>
    <row r="160" ht="185.25" customHeight="1">
      <c r="A160" s="51" t="str">
        <f>'HECVAT - Full'!A160</f>
        <v>DCTR-02</v>
      </c>
      <c r="B160" s="62" t="str">
        <f>VLOOKUP(A160,'HECVAT - Full'!A$24:B$312,2,FALSE)</f>
        <v>Does the hosting provider have a SOC 2 Type 2 report available?</v>
      </c>
      <c r="C160" s="32" t="s">
        <v>1407</v>
      </c>
      <c r="D160" s="32" t="s">
        <v>1408</v>
      </c>
      <c r="E160" s="184"/>
      <c r="F160" s="181"/>
      <c r="G160" s="181"/>
      <c r="H160" s="181"/>
      <c r="I160" s="181"/>
      <c r="J160" s="181"/>
      <c r="K160" s="181"/>
      <c r="L160" s="181"/>
      <c r="M160" s="181"/>
      <c r="N160" s="181"/>
      <c r="O160" s="181"/>
      <c r="P160" s="181"/>
      <c r="Q160" s="181"/>
      <c r="R160" s="181"/>
      <c r="S160" s="181"/>
      <c r="T160" s="181"/>
      <c r="U160" s="181"/>
      <c r="V160" s="181"/>
      <c r="W160" s="181"/>
      <c r="X160" s="181"/>
      <c r="Y160" s="6"/>
      <c r="Z160" s="6"/>
    </row>
    <row r="161" ht="79.5" customHeight="1">
      <c r="A161" s="51" t="str">
        <f>'HECVAT - Full'!A161</f>
        <v>DCTR-03</v>
      </c>
      <c r="B161" s="62" t="str">
        <f>VLOOKUP(A161,'HECVAT - Full'!A$24:B$312,2,FALSE)</f>
        <v>Are the data centers staffed 24 hours a day, seven days a week (i.e., 24x7x365)?</v>
      </c>
      <c r="C161" s="32" t="s">
        <v>1409</v>
      </c>
      <c r="D161" s="32" t="s">
        <v>1410</v>
      </c>
      <c r="E161" s="184"/>
      <c r="F161" s="181"/>
      <c r="G161" s="181"/>
      <c r="H161" s="181"/>
      <c r="I161" s="181"/>
      <c r="J161" s="181"/>
      <c r="K161" s="181"/>
      <c r="L161" s="181"/>
      <c r="M161" s="181"/>
      <c r="N161" s="181"/>
      <c r="O161" s="181"/>
      <c r="P161" s="181"/>
      <c r="Q161" s="181"/>
      <c r="R161" s="181"/>
      <c r="S161" s="181"/>
      <c r="T161" s="181"/>
      <c r="U161" s="181"/>
      <c r="V161" s="181"/>
      <c r="W161" s="181"/>
      <c r="X161" s="181"/>
      <c r="Y161" s="6"/>
      <c r="Z161" s="6"/>
    </row>
    <row r="162" ht="64.5" customHeight="1">
      <c r="A162" s="51" t="str">
        <f>'HECVAT - Full'!A162</f>
        <v>DCTR-04</v>
      </c>
      <c r="B162" s="62" t="str">
        <f>VLOOKUP(A162,'HECVAT - Full'!A$24:B$312,2,FALSE)</f>
        <v>Do any of your servers reside in a co-located data center?</v>
      </c>
      <c r="C162" s="32" t="s">
        <v>1411</v>
      </c>
      <c r="D162" s="32" t="s">
        <v>1412</v>
      </c>
      <c r="E162" s="184"/>
      <c r="F162" s="181"/>
      <c r="G162" s="181"/>
      <c r="H162" s="181"/>
      <c r="I162" s="181"/>
      <c r="J162" s="181"/>
      <c r="K162" s="181"/>
      <c r="L162" s="181"/>
      <c r="M162" s="181"/>
      <c r="N162" s="181"/>
      <c r="O162" s="181"/>
      <c r="P162" s="181"/>
      <c r="Q162" s="181"/>
      <c r="R162" s="181"/>
      <c r="S162" s="181"/>
      <c r="T162" s="181"/>
      <c r="U162" s="181"/>
      <c r="V162" s="181"/>
      <c r="W162" s="181"/>
      <c r="X162" s="181"/>
      <c r="Y162" s="6"/>
      <c r="Z162" s="6"/>
    </row>
    <row r="163" ht="92.25" customHeight="1">
      <c r="A163" s="51" t="str">
        <f>'HECVAT - Full'!A163</f>
        <v>DCTR-05</v>
      </c>
      <c r="B163" s="62" t="str">
        <f>VLOOKUP(A163,'HECVAT - Full'!A$24:B$312,2,FALSE)</f>
        <v>Are your servers separated from other companies via a physical barrier, such as a cage or hardened walls?</v>
      </c>
      <c r="C163" s="32" t="s">
        <v>1413</v>
      </c>
      <c r="D163" s="32" t="s">
        <v>1414</v>
      </c>
      <c r="E163" s="184"/>
      <c r="F163" s="181"/>
      <c r="G163" s="181"/>
      <c r="H163" s="181"/>
      <c r="I163" s="181"/>
      <c r="J163" s="181"/>
      <c r="K163" s="181"/>
      <c r="L163" s="181"/>
      <c r="M163" s="181"/>
      <c r="N163" s="181"/>
      <c r="O163" s="181"/>
      <c r="P163" s="181"/>
      <c r="Q163" s="181"/>
      <c r="R163" s="181"/>
      <c r="S163" s="181"/>
      <c r="T163" s="181"/>
      <c r="U163" s="181"/>
      <c r="V163" s="181"/>
      <c r="W163" s="181"/>
      <c r="X163" s="181"/>
      <c r="Y163" s="6"/>
      <c r="Z163" s="6"/>
    </row>
    <row r="164" ht="92.25" customHeight="1">
      <c r="A164" s="51" t="str">
        <f>'HECVAT - Full'!A164</f>
        <v>DCTR-06</v>
      </c>
      <c r="B164" s="62" t="str">
        <f>VLOOKUP(A164,'HECVAT - Full'!A$24:B$312,2,FALSE)</f>
        <v>Does a physical barrier fully enclose the physical space preventing unauthorized physical contact with any of your devices?</v>
      </c>
      <c r="C164" s="32" t="s">
        <v>1413</v>
      </c>
      <c r="D164" s="32" t="s">
        <v>1414</v>
      </c>
      <c r="E164" s="184"/>
      <c r="F164" s="181"/>
      <c r="G164" s="181"/>
      <c r="H164" s="181"/>
      <c r="I164" s="181"/>
      <c r="J164" s="181"/>
      <c r="K164" s="181"/>
      <c r="L164" s="181"/>
      <c r="M164" s="181"/>
      <c r="N164" s="181"/>
      <c r="O164" s="181"/>
      <c r="P164" s="181"/>
      <c r="Q164" s="181"/>
      <c r="R164" s="181"/>
      <c r="S164" s="181"/>
      <c r="T164" s="181"/>
      <c r="U164" s="181"/>
      <c r="V164" s="181"/>
      <c r="W164" s="181"/>
      <c r="X164" s="181"/>
      <c r="Y164" s="6"/>
      <c r="Z164" s="6"/>
    </row>
    <row r="165" ht="114.0" customHeight="1">
      <c r="A165" s="51" t="str">
        <f>'HECVAT - Full'!A165</f>
        <v>DCTR-07</v>
      </c>
      <c r="B165" s="62" t="str">
        <f>VLOOKUP(A165,'HECVAT - Full'!A$24:B$312,2,FALSE)</f>
        <v>Select the option that best describes the network segment that servers are connected to.</v>
      </c>
      <c r="C165" s="32" t="s">
        <v>1415</v>
      </c>
      <c r="D165" s="32" t="s">
        <v>1416</v>
      </c>
      <c r="E165" s="184"/>
      <c r="F165" s="181"/>
      <c r="G165" s="181"/>
      <c r="H165" s="181"/>
      <c r="I165" s="181"/>
      <c r="J165" s="181"/>
      <c r="K165" s="181"/>
      <c r="L165" s="181"/>
      <c r="M165" s="181"/>
      <c r="N165" s="181"/>
      <c r="O165" s="181"/>
      <c r="P165" s="181"/>
      <c r="Q165" s="181"/>
      <c r="R165" s="181"/>
      <c r="S165" s="181"/>
      <c r="T165" s="181"/>
      <c r="U165" s="181"/>
      <c r="V165" s="181"/>
      <c r="W165" s="181"/>
      <c r="X165" s="181"/>
      <c r="Y165" s="6"/>
      <c r="Z165" s="6"/>
    </row>
    <row r="166" ht="85.5" customHeight="1">
      <c r="A166" s="51" t="str">
        <f>'HECVAT - Full'!A166</f>
        <v>DCTR-08</v>
      </c>
      <c r="B166" s="62" t="str">
        <f>VLOOKUP(A166,'HECVAT - Full'!A$24:B$312,2,FALSE)</f>
        <v>Does this data center operate outside of the Institution's Data Zone?</v>
      </c>
      <c r="C166" s="32" t="s">
        <v>1391</v>
      </c>
      <c r="D166" s="32" t="s">
        <v>1417</v>
      </c>
      <c r="E166" s="184"/>
      <c r="F166" s="181"/>
      <c r="G166" s="181"/>
      <c r="H166" s="181"/>
      <c r="I166" s="181"/>
      <c r="J166" s="181"/>
      <c r="K166" s="181"/>
      <c r="L166" s="181"/>
      <c r="M166" s="181"/>
      <c r="N166" s="181"/>
      <c r="O166" s="181"/>
      <c r="P166" s="181"/>
      <c r="Q166" s="181"/>
      <c r="R166" s="181"/>
      <c r="S166" s="181"/>
      <c r="T166" s="181"/>
      <c r="U166" s="181"/>
      <c r="V166" s="181"/>
      <c r="W166" s="181"/>
      <c r="X166" s="181"/>
      <c r="Y166" s="6"/>
      <c r="Z166" s="6"/>
    </row>
    <row r="167" ht="85.5" customHeight="1">
      <c r="A167" s="51" t="str">
        <f>'HECVAT - Full'!A167</f>
        <v>DCTR-09</v>
      </c>
      <c r="B167" s="62" t="str">
        <f>VLOOKUP(A167,'HECVAT - Full'!A$24:B$312,2,FALSE)</f>
        <v>Will any institution data leave the Institution's Data Zone?</v>
      </c>
      <c r="C167" s="32" t="s">
        <v>1391</v>
      </c>
      <c r="D167" s="32" t="s">
        <v>1392</v>
      </c>
      <c r="E167" s="184"/>
      <c r="F167" s="181"/>
      <c r="G167" s="181"/>
      <c r="H167" s="181"/>
      <c r="I167" s="181"/>
      <c r="J167" s="181"/>
      <c r="K167" s="181"/>
      <c r="L167" s="181"/>
      <c r="M167" s="181"/>
      <c r="N167" s="181"/>
      <c r="O167" s="181"/>
      <c r="P167" s="181"/>
      <c r="Q167" s="181"/>
      <c r="R167" s="181"/>
      <c r="S167" s="181"/>
      <c r="T167" s="181"/>
      <c r="U167" s="181"/>
      <c r="V167" s="181"/>
      <c r="W167" s="181"/>
      <c r="X167" s="181"/>
      <c r="Y167" s="6"/>
      <c r="Z167" s="6"/>
    </row>
    <row r="168" ht="85.5" customHeight="1">
      <c r="A168" s="51" t="str">
        <f>'HECVAT - Full'!A168</f>
        <v>DCTR-10</v>
      </c>
      <c r="B168" s="62" t="str">
        <f>VLOOKUP(A168,'HECVAT - Full'!A$24:B$312,2,FALSE)</f>
        <v>List all datacenters and the cities, states (provinces), and countries where the Institution's data will be stored (including within the Institution's Data Zone).   </v>
      </c>
      <c r="C168" s="32" t="s">
        <v>1391</v>
      </c>
      <c r="D168" s="32" t="s">
        <v>1417</v>
      </c>
      <c r="E168" s="184"/>
      <c r="F168" s="181"/>
      <c r="G168" s="181"/>
      <c r="H168" s="181"/>
      <c r="I168" s="181"/>
      <c r="J168" s="181"/>
      <c r="K168" s="181"/>
      <c r="L168" s="181"/>
      <c r="M168" s="181"/>
      <c r="N168" s="181"/>
      <c r="O168" s="181"/>
      <c r="P168" s="181"/>
      <c r="Q168" s="181"/>
      <c r="R168" s="181"/>
      <c r="S168" s="181"/>
      <c r="T168" s="181"/>
      <c r="U168" s="181"/>
      <c r="V168" s="181"/>
      <c r="W168" s="181"/>
      <c r="X168" s="181"/>
      <c r="Y168" s="6"/>
      <c r="Z168" s="6"/>
    </row>
    <row r="169" ht="71.25" customHeight="1">
      <c r="A169" s="51" t="str">
        <f>'HECVAT - Full'!A169</f>
        <v>DCTR-11</v>
      </c>
      <c r="B169" s="62" t="str">
        <f>VLOOKUP(A169,'HECVAT - Full'!A$24:B$312,2,FALSE)</f>
        <v>Are your primary and secondary data centers geographically diverse?</v>
      </c>
      <c r="C169" s="32" t="s">
        <v>1418</v>
      </c>
      <c r="D169" s="32" t="s">
        <v>1419</v>
      </c>
      <c r="E169" s="184"/>
      <c r="F169" s="181"/>
      <c r="G169" s="181"/>
      <c r="H169" s="181"/>
      <c r="I169" s="181"/>
      <c r="J169" s="181"/>
      <c r="K169" s="181"/>
      <c r="L169" s="181"/>
      <c r="M169" s="181"/>
      <c r="N169" s="181"/>
      <c r="O169" s="181"/>
      <c r="P169" s="181"/>
      <c r="Q169" s="181"/>
      <c r="R169" s="181"/>
      <c r="S169" s="181"/>
      <c r="T169" s="181"/>
      <c r="U169" s="181"/>
      <c r="V169" s="181"/>
      <c r="W169" s="181"/>
      <c r="X169" s="181"/>
      <c r="Y169" s="6"/>
      <c r="Z169" s="6"/>
    </row>
    <row r="170" ht="85.5" customHeight="1">
      <c r="A170" s="51" t="str">
        <f>'HECVAT - Full'!A170</f>
        <v>DCTR-12</v>
      </c>
      <c r="B170" s="62" t="str">
        <f>VLOOKUP(A170,'HECVAT - Full'!A$24:B$312,2,FALSE)</f>
        <v>If outsourced or co-located, is there a contract in place to prevent data from leaving the Institution's Data Zone?</v>
      </c>
      <c r="C170" s="32" t="s">
        <v>1391</v>
      </c>
      <c r="D170" s="32" t="s">
        <v>1420</v>
      </c>
      <c r="E170" s="184"/>
      <c r="F170" s="181"/>
      <c r="G170" s="181"/>
      <c r="H170" s="181"/>
      <c r="I170" s="181"/>
      <c r="J170" s="181"/>
      <c r="K170" s="181"/>
      <c r="L170" s="181"/>
      <c r="M170" s="181"/>
      <c r="N170" s="181"/>
      <c r="O170" s="181"/>
      <c r="P170" s="181"/>
      <c r="Q170" s="181"/>
      <c r="R170" s="181"/>
      <c r="S170" s="181"/>
      <c r="T170" s="181"/>
      <c r="U170" s="181"/>
      <c r="V170" s="181"/>
      <c r="W170" s="181"/>
      <c r="X170" s="181"/>
      <c r="Y170" s="6"/>
      <c r="Z170" s="6"/>
    </row>
    <row r="171" ht="63.75" customHeight="1">
      <c r="A171" s="51" t="str">
        <f>'HECVAT - Full'!A171</f>
        <v>DCTR-13</v>
      </c>
      <c r="B171" s="62" t="str">
        <f>VLOOKUP(A171,'HECVAT - Full'!A$24:B$312,2,FALSE)</f>
        <v>What Tier Level is your data center (per levels defined by the Uptime Institute)?</v>
      </c>
      <c r="C171" s="32" t="s">
        <v>1421</v>
      </c>
      <c r="D171" s="32" t="s">
        <v>1422</v>
      </c>
      <c r="E171" s="184"/>
      <c r="F171" s="181"/>
      <c r="G171" s="181"/>
      <c r="H171" s="181"/>
      <c r="I171" s="181"/>
      <c r="J171" s="181"/>
      <c r="K171" s="181"/>
      <c r="L171" s="181"/>
      <c r="M171" s="181"/>
      <c r="N171" s="181"/>
      <c r="O171" s="181"/>
      <c r="P171" s="181"/>
      <c r="Q171" s="181"/>
      <c r="R171" s="181"/>
      <c r="S171" s="181"/>
      <c r="T171" s="181"/>
      <c r="U171" s="181"/>
      <c r="V171" s="181"/>
      <c r="W171" s="181"/>
      <c r="X171" s="181"/>
      <c r="Y171" s="6"/>
      <c r="Z171" s="6"/>
    </row>
    <row r="172" ht="48.0" customHeight="1">
      <c r="A172" s="51" t="str">
        <f>'HECVAT - Full'!A172</f>
        <v>DCTR-14</v>
      </c>
      <c r="B172" s="51" t="str">
        <f>VLOOKUP(A172,'HECVAT - Full'!A$24:B$312,2,FALSE)</f>
        <v>Is the service hosted in a high availability environment?</v>
      </c>
      <c r="C172" s="244" t="s">
        <v>1423</v>
      </c>
      <c r="D172" s="245" t="s">
        <v>1424</v>
      </c>
      <c r="E172" s="246"/>
      <c r="F172" s="247"/>
      <c r="G172" s="247"/>
      <c r="H172" s="247"/>
      <c r="I172" s="247"/>
      <c r="J172" s="247"/>
      <c r="K172" s="247"/>
      <c r="L172" s="247"/>
      <c r="M172" s="247"/>
      <c r="N172" s="247"/>
      <c r="O172" s="247"/>
      <c r="P172" s="247"/>
      <c r="Q172" s="247"/>
      <c r="R172" s="247"/>
      <c r="S172" s="247"/>
      <c r="T172" s="247"/>
      <c r="U172" s="247"/>
      <c r="V172" s="247"/>
      <c r="W172" s="247"/>
      <c r="X172" s="247"/>
      <c r="Y172" s="6"/>
      <c r="Z172" s="6"/>
    </row>
    <row r="173" ht="48.0" customHeight="1">
      <c r="A173" s="51" t="str">
        <f>'HECVAT - Full'!A173</f>
        <v>DCTR-15</v>
      </c>
      <c r="B173" s="62" t="str">
        <f>VLOOKUP(A173,'HECVAT - Full'!A$24:B$312,2,FALSE)</f>
        <v>Is redundant power available for all datacenters where institution data will reside? </v>
      </c>
      <c r="C173" s="32" t="s">
        <v>1423</v>
      </c>
      <c r="D173" s="32" t="s">
        <v>1424</v>
      </c>
      <c r="E173" s="184"/>
      <c r="F173" s="181"/>
      <c r="G173" s="181"/>
      <c r="H173" s="181"/>
      <c r="I173" s="181"/>
      <c r="J173" s="181"/>
      <c r="K173" s="181"/>
      <c r="L173" s="181"/>
      <c r="M173" s="181"/>
      <c r="N173" s="181"/>
      <c r="O173" s="181"/>
      <c r="P173" s="181"/>
      <c r="Q173" s="181"/>
      <c r="R173" s="181"/>
      <c r="S173" s="181"/>
      <c r="T173" s="181"/>
      <c r="U173" s="181"/>
      <c r="V173" s="181"/>
      <c r="W173" s="181"/>
      <c r="X173" s="181"/>
      <c r="Y173" s="6"/>
      <c r="Z173" s="6"/>
    </row>
    <row r="174" ht="85.5" customHeight="1">
      <c r="A174" s="51" t="str">
        <f>'HECVAT - Full'!A174</f>
        <v>DCTR-16</v>
      </c>
      <c r="B174" s="62" t="str">
        <f>VLOOKUP(A174,'HECVAT - Full'!A$24:B$312,2,FALSE)</f>
        <v>Are redundant power strategies tested?</v>
      </c>
      <c r="C174" s="32" t="s">
        <v>1425</v>
      </c>
      <c r="D174" s="32" t="s">
        <v>1426</v>
      </c>
      <c r="E174" s="184"/>
      <c r="F174" s="181"/>
      <c r="G174" s="181"/>
      <c r="H174" s="181"/>
      <c r="I174" s="181"/>
      <c r="J174" s="181"/>
      <c r="K174" s="181"/>
      <c r="L174" s="181"/>
      <c r="M174" s="181"/>
      <c r="N174" s="181"/>
      <c r="O174" s="181"/>
      <c r="P174" s="181"/>
      <c r="Q174" s="181"/>
      <c r="R174" s="181"/>
      <c r="S174" s="181"/>
      <c r="T174" s="181"/>
      <c r="U174" s="181"/>
      <c r="V174" s="181"/>
      <c r="W174" s="181"/>
      <c r="X174" s="181"/>
      <c r="Y174" s="6"/>
      <c r="Z174" s="6"/>
    </row>
    <row r="175" ht="80.25" customHeight="1">
      <c r="A175" s="51" t="str">
        <f>'HECVAT - Full'!A175</f>
        <v>DCTR-17</v>
      </c>
      <c r="B175" s="62" t="str">
        <f>VLOOKUP(A175,'HECVAT - Full'!A$24:B$312,2,FALSE)</f>
        <v>Describe or provide a reference to the availability of cooling and fire suppression systems in all datacenters where institution data will reside.</v>
      </c>
      <c r="C175" s="32" t="s">
        <v>1427</v>
      </c>
      <c r="D175" s="32" t="s">
        <v>1428</v>
      </c>
      <c r="E175" s="184"/>
      <c r="F175" s="181"/>
      <c r="G175" s="181"/>
      <c r="H175" s="181"/>
      <c r="I175" s="181"/>
      <c r="J175" s="181"/>
      <c r="K175" s="181"/>
      <c r="L175" s="181"/>
      <c r="M175" s="181"/>
      <c r="N175" s="181"/>
      <c r="O175" s="181"/>
      <c r="P175" s="181"/>
      <c r="Q175" s="181"/>
      <c r="R175" s="181"/>
      <c r="S175" s="181"/>
      <c r="T175" s="181"/>
      <c r="U175" s="181"/>
      <c r="V175" s="181"/>
      <c r="W175" s="181"/>
      <c r="X175" s="181"/>
      <c r="Y175" s="6"/>
      <c r="Z175" s="6"/>
    </row>
    <row r="176" ht="48.0" customHeight="1">
      <c r="A176" s="51" t="str">
        <f>'HECVAT - Full'!A176</f>
        <v>DCTR-18</v>
      </c>
      <c r="B176" s="62" t="str">
        <f>VLOOKUP(A176,'HECVAT - Full'!A$24:B$312,2,FALSE)</f>
        <v>State how many Internet Service Providers (ISPs) provide connectivity to each datacenter where the institution's data will reside. </v>
      </c>
      <c r="C176" s="32" t="s">
        <v>1423</v>
      </c>
      <c r="D176" s="32" t="s">
        <v>1424</v>
      </c>
      <c r="E176" s="184"/>
      <c r="F176" s="181"/>
      <c r="G176" s="181"/>
      <c r="H176" s="181"/>
      <c r="I176" s="181"/>
      <c r="J176" s="181"/>
      <c r="K176" s="181"/>
      <c r="L176" s="181"/>
      <c r="M176" s="181"/>
      <c r="N176" s="181"/>
      <c r="O176" s="181"/>
      <c r="P176" s="181"/>
      <c r="Q176" s="181"/>
      <c r="R176" s="181"/>
      <c r="S176" s="181"/>
      <c r="T176" s="181"/>
      <c r="U176" s="181"/>
      <c r="V176" s="181"/>
      <c r="W176" s="181"/>
      <c r="X176" s="181"/>
      <c r="Y176" s="6"/>
      <c r="Z176" s="6"/>
    </row>
    <row r="177" ht="48.0" customHeight="1">
      <c r="A177" s="51" t="str">
        <f>'HECVAT - Full'!A177</f>
        <v>DCTR-19</v>
      </c>
      <c r="B177" s="62" t="str">
        <f>VLOOKUP(A177,'HECVAT - Full'!A$24:B$312,2,FALSE)</f>
        <v>Does every datacenter where the Institution's data will reside have multiple telephone company or network provider entrances to the facility?</v>
      </c>
      <c r="C177" s="32" t="s">
        <v>1423</v>
      </c>
      <c r="D177" s="32" t="s">
        <v>1424</v>
      </c>
      <c r="E177" s="184"/>
      <c r="F177" s="181"/>
      <c r="G177" s="181"/>
      <c r="H177" s="181"/>
      <c r="I177" s="181"/>
      <c r="J177" s="181"/>
      <c r="K177" s="181"/>
      <c r="L177" s="181"/>
      <c r="M177" s="181"/>
      <c r="N177" s="181"/>
      <c r="O177" s="181"/>
      <c r="P177" s="181"/>
      <c r="Q177" s="181"/>
      <c r="R177" s="181"/>
      <c r="S177" s="181"/>
      <c r="T177" s="181"/>
      <c r="U177" s="181"/>
      <c r="V177" s="181"/>
      <c r="W177" s="181"/>
      <c r="X177" s="181"/>
      <c r="Y177" s="6"/>
      <c r="Z177" s="6"/>
    </row>
    <row r="178" ht="36.0" customHeight="1">
      <c r="A178" s="45" t="str">
        <f>IF(OR($C$28="No",$C$30="Yes"),"DRP - Respond to as many questions below as possible.","Disaster Recovery Plan")</f>
        <v>Disaster Recovery Plan</v>
      </c>
      <c r="B178" s="14"/>
      <c r="C178" s="60" t="str">
        <f>$C$22</f>
        <v>Reason for Question</v>
      </c>
      <c r="D178" s="60" t="str">
        <f>$D$22</f>
        <v>Follow-up Inquiries/Responses</v>
      </c>
      <c r="E178" s="184"/>
      <c r="F178" s="181"/>
      <c r="G178" s="181"/>
      <c r="H178" s="181"/>
      <c r="I178" s="181"/>
      <c r="J178" s="181"/>
      <c r="K178" s="181"/>
      <c r="L178" s="181"/>
      <c r="M178" s="181"/>
      <c r="N178" s="181"/>
      <c r="O178" s="181"/>
      <c r="P178" s="181"/>
      <c r="Q178" s="181"/>
      <c r="R178" s="181"/>
      <c r="S178" s="181"/>
      <c r="T178" s="181"/>
      <c r="U178" s="181"/>
      <c r="V178" s="181"/>
      <c r="W178" s="181"/>
      <c r="X178" s="181"/>
      <c r="Y178" s="6"/>
      <c r="Z178" s="6"/>
    </row>
    <row r="179" ht="111.75" customHeight="1">
      <c r="A179" s="51" t="str">
        <f>'HECVAT - Full'!A179</f>
        <v>DRPL-01</v>
      </c>
      <c r="B179" s="62" t="str">
        <f>VLOOKUP(A179,'HECVAT - Full'!A$24:B$312,2,FALSE)</f>
        <v>Describe or provide a reference to your Disaster Recovery Plan (DRP).</v>
      </c>
      <c r="C179" s="32" t="s">
        <v>1429</v>
      </c>
      <c r="D179" s="63" t="s">
        <v>1430</v>
      </c>
      <c r="E179" s="184"/>
      <c r="F179" s="181"/>
      <c r="G179" s="181"/>
      <c r="H179" s="181"/>
      <c r="I179" s="181"/>
      <c r="J179" s="181"/>
      <c r="K179" s="181"/>
      <c r="L179" s="181"/>
      <c r="M179" s="181"/>
      <c r="N179" s="181"/>
      <c r="O179" s="181"/>
      <c r="P179" s="181"/>
      <c r="Q179" s="181"/>
      <c r="R179" s="181"/>
      <c r="S179" s="181"/>
      <c r="T179" s="181"/>
      <c r="U179" s="181"/>
      <c r="V179" s="181"/>
      <c r="W179" s="181"/>
      <c r="X179" s="181"/>
      <c r="Y179" s="6"/>
      <c r="Z179" s="6"/>
    </row>
    <row r="180" ht="64.5" customHeight="1">
      <c r="A180" s="51" t="str">
        <f>'HECVAT - Full'!A180</f>
        <v>DRPL-02</v>
      </c>
      <c r="B180" s="62" t="str">
        <f>VLOOKUP(A180,'HECVAT - Full'!A$24:B$312,2,FALSE)</f>
        <v>Is an owner assigned who is responsible for the maintenance and review of the DRP?</v>
      </c>
      <c r="C180" s="32" t="s">
        <v>1431</v>
      </c>
      <c r="D180" s="32" t="s">
        <v>1432</v>
      </c>
      <c r="E180" s="184"/>
      <c r="F180" s="181"/>
      <c r="G180" s="181"/>
      <c r="H180" s="181"/>
      <c r="I180" s="181"/>
      <c r="J180" s="181"/>
      <c r="K180" s="181"/>
      <c r="L180" s="181"/>
      <c r="M180" s="181"/>
      <c r="N180" s="181"/>
      <c r="O180" s="181"/>
      <c r="P180" s="181"/>
      <c r="Q180" s="181"/>
      <c r="R180" s="181"/>
      <c r="S180" s="181"/>
      <c r="T180" s="181"/>
      <c r="U180" s="181"/>
      <c r="V180" s="181"/>
      <c r="W180" s="181"/>
      <c r="X180" s="181"/>
      <c r="Y180" s="6"/>
      <c r="Z180" s="6"/>
    </row>
    <row r="181" ht="57.0" customHeight="1">
      <c r="A181" s="51" t="str">
        <f>'HECVAT - Full'!A181</f>
        <v>DRPL-03</v>
      </c>
      <c r="B181" s="62" t="str">
        <f>VLOOKUP(A181,'HECVAT - Full'!A$24:B$312,2,FALSE)</f>
        <v>Can the Institution review your DRP and supporting documentation?</v>
      </c>
      <c r="C181" s="32" t="s">
        <v>1433</v>
      </c>
      <c r="D181" s="32" t="s">
        <v>1434</v>
      </c>
      <c r="E181" s="184"/>
      <c r="F181" s="181"/>
      <c r="G181" s="181"/>
      <c r="H181" s="181"/>
      <c r="I181" s="181"/>
      <c r="J181" s="181"/>
      <c r="K181" s="181"/>
      <c r="L181" s="181"/>
      <c r="M181" s="181"/>
      <c r="N181" s="181"/>
      <c r="O181" s="181"/>
      <c r="P181" s="181"/>
      <c r="Q181" s="181"/>
      <c r="R181" s="181"/>
      <c r="S181" s="181"/>
      <c r="T181" s="181"/>
      <c r="U181" s="181"/>
      <c r="V181" s="181"/>
      <c r="W181" s="181"/>
      <c r="X181" s="181"/>
      <c r="Y181" s="6"/>
      <c r="Z181" s="6"/>
    </row>
    <row r="182" ht="85.5" customHeight="1">
      <c r="A182" s="51" t="str">
        <f>'HECVAT - Full'!A182</f>
        <v>DRPL-04</v>
      </c>
      <c r="B182" s="62" t="str">
        <f>VLOOKUP(A182,'HECVAT - Full'!A$24:B$312,2,FALSE)</f>
        <v>Are any disaster recovery locations outside the Institution's Data Zone?</v>
      </c>
      <c r="C182" s="32" t="s">
        <v>1391</v>
      </c>
      <c r="D182" s="32" t="s">
        <v>1392</v>
      </c>
      <c r="E182" s="184"/>
      <c r="F182" s="181"/>
      <c r="G182" s="181"/>
      <c r="H182" s="181"/>
      <c r="I182" s="181"/>
      <c r="J182" s="181"/>
      <c r="K182" s="181"/>
      <c r="L182" s="181"/>
      <c r="M182" s="181"/>
      <c r="N182" s="181"/>
      <c r="O182" s="181"/>
      <c r="P182" s="181"/>
      <c r="Q182" s="181"/>
      <c r="R182" s="181"/>
      <c r="S182" s="181"/>
      <c r="T182" s="181"/>
      <c r="U182" s="181"/>
      <c r="V182" s="181"/>
      <c r="W182" s="181"/>
      <c r="X182" s="181"/>
      <c r="Y182" s="6"/>
      <c r="Z182" s="6"/>
    </row>
    <row r="183" ht="84.75" customHeight="1">
      <c r="A183" s="51" t="str">
        <f>'HECVAT - Full'!A183</f>
        <v>DRPL-05</v>
      </c>
      <c r="B183" s="62" t="str">
        <f>VLOOKUP(A183,'HECVAT - Full'!A$24:B$312,2,FALSE)</f>
        <v>Does your organization have a disaster recovery site or a contracted Disaster Recovery provider?</v>
      </c>
      <c r="C183" s="32" t="s">
        <v>1435</v>
      </c>
      <c r="D183" s="32" t="s">
        <v>1436</v>
      </c>
      <c r="E183" s="184"/>
      <c r="F183" s="181"/>
      <c r="G183" s="181"/>
      <c r="H183" s="181"/>
      <c r="I183" s="181"/>
      <c r="J183" s="181"/>
      <c r="K183" s="181"/>
      <c r="L183" s="181"/>
      <c r="M183" s="181"/>
      <c r="N183" s="181"/>
      <c r="O183" s="181"/>
      <c r="P183" s="181"/>
      <c r="Q183" s="181"/>
      <c r="R183" s="181"/>
      <c r="S183" s="181"/>
      <c r="T183" s="181"/>
      <c r="U183" s="181"/>
      <c r="V183" s="181"/>
      <c r="W183" s="181"/>
      <c r="X183" s="181"/>
      <c r="Y183" s="6"/>
      <c r="Z183" s="6"/>
    </row>
    <row r="184" ht="71.25" customHeight="1">
      <c r="A184" s="51" t="str">
        <f>'HECVAT - Full'!A184</f>
        <v>DRPL-06</v>
      </c>
      <c r="B184" s="62" t="str">
        <f>VLOOKUP(A184,'HECVAT - Full'!A$24:B$312,2,FALSE)</f>
        <v>Does your organization conduct an annual test of relocating to this site for disaster recovery purposes?</v>
      </c>
      <c r="C184" s="32" t="s">
        <v>1437</v>
      </c>
      <c r="D184" s="63" t="s">
        <v>1438</v>
      </c>
      <c r="E184" s="184"/>
      <c r="F184" s="181"/>
      <c r="G184" s="181"/>
      <c r="H184" s="181"/>
      <c r="I184" s="181"/>
      <c r="J184" s="181"/>
      <c r="K184" s="181"/>
      <c r="L184" s="181"/>
      <c r="M184" s="181"/>
      <c r="N184" s="181"/>
      <c r="O184" s="181"/>
      <c r="P184" s="181"/>
      <c r="Q184" s="181"/>
      <c r="R184" s="181"/>
      <c r="S184" s="181"/>
      <c r="T184" s="181"/>
      <c r="U184" s="181"/>
      <c r="V184" s="181"/>
      <c r="W184" s="181"/>
      <c r="X184" s="181"/>
      <c r="Y184" s="6"/>
      <c r="Z184" s="6"/>
    </row>
    <row r="185" ht="71.25" customHeight="1">
      <c r="A185" s="51" t="str">
        <f>'HECVAT - Full'!A185</f>
        <v>DRPL-07</v>
      </c>
      <c r="B185" s="62" t="str">
        <f>VLOOKUP(A185,'HECVAT - Full'!A$24:B$312,2,FALSE)</f>
        <v>Is there a defined problem/issue escalation plan in your DRP for impacted clients?</v>
      </c>
      <c r="C185" s="32" t="s">
        <v>1316</v>
      </c>
      <c r="D185" s="32" t="s">
        <v>1317</v>
      </c>
      <c r="E185" s="184"/>
      <c r="F185" s="181"/>
      <c r="G185" s="181"/>
      <c r="H185" s="181"/>
      <c r="I185" s="181"/>
      <c r="J185" s="181"/>
      <c r="K185" s="181"/>
      <c r="L185" s="181"/>
      <c r="M185" s="181"/>
      <c r="N185" s="181"/>
      <c r="O185" s="181"/>
      <c r="P185" s="181"/>
      <c r="Q185" s="181"/>
      <c r="R185" s="181"/>
      <c r="S185" s="181"/>
      <c r="T185" s="181"/>
      <c r="U185" s="181"/>
      <c r="V185" s="181"/>
      <c r="W185" s="181"/>
      <c r="X185" s="181"/>
      <c r="Y185" s="6"/>
      <c r="Z185" s="6"/>
    </row>
    <row r="186" ht="71.25" customHeight="1">
      <c r="A186" s="51" t="str">
        <f>'HECVAT - Full'!A186</f>
        <v>DRPL-08</v>
      </c>
      <c r="B186" s="62" t="str">
        <f>VLOOKUP(A186,'HECVAT - Full'!A$24:B$312,2,FALSE)</f>
        <v>Is there a documented communication plan in your DRP for impacted clients?</v>
      </c>
      <c r="C186" s="32" t="s">
        <v>1316</v>
      </c>
      <c r="D186" s="32" t="s">
        <v>1317</v>
      </c>
      <c r="E186" s="184"/>
      <c r="F186" s="181"/>
      <c r="G186" s="181"/>
      <c r="H186" s="181"/>
      <c r="I186" s="181"/>
      <c r="J186" s="181"/>
      <c r="K186" s="181"/>
      <c r="L186" s="181"/>
      <c r="M186" s="181"/>
      <c r="N186" s="181"/>
      <c r="O186" s="181"/>
      <c r="P186" s="181"/>
      <c r="Q186" s="181"/>
      <c r="R186" s="181"/>
      <c r="S186" s="181"/>
      <c r="T186" s="181"/>
      <c r="U186" s="181"/>
      <c r="V186" s="181"/>
      <c r="W186" s="181"/>
      <c r="X186" s="181"/>
      <c r="Y186" s="6"/>
      <c r="Z186" s="6"/>
    </row>
    <row r="187" ht="83.25" customHeight="1">
      <c r="A187" s="51" t="str">
        <f>'HECVAT - Full'!A187</f>
        <v>DRPL-09</v>
      </c>
      <c r="B187" s="62" t="str">
        <f>VLOOKUP(A187,'HECVAT - Full'!A$24:B$312,2,FALSE)</f>
        <v>Describe or provide a reference to how your disaster recovery plan is tested? (i.e. scope of DR tests, end-to-end testing, etc.)</v>
      </c>
      <c r="C187" s="32" t="s">
        <v>1439</v>
      </c>
      <c r="D187" s="63" t="s">
        <v>1438</v>
      </c>
      <c r="E187" s="184"/>
      <c r="F187" s="181"/>
      <c r="G187" s="181"/>
      <c r="H187" s="181"/>
      <c r="I187" s="181"/>
      <c r="J187" s="181"/>
      <c r="K187" s="181"/>
      <c r="L187" s="181"/>
      <c r="M187" s="181"/>
      <c r="N187" s="181"/>
      <c r="O187" s="181"/>
      <c r="P187" s="181"/>
      <c r="Q187" s="181"/>
      <c r="R187" s="181"/>
      <c r="S187" s="181"/>
      <c r="T187" s="181"/>
      <c r="U187" s="181"/>
      <c r="V187" s="181"/>
      <c r="W187" s="181"/>
      <c r="X187" s="181"/>
      <c r="Y187" s="6"/>
      <c r="Z187" s="6"/>
    </row>
    <row r="188" ht="83.25" customHeight="1">
      <c r="A188" s="51" t="str">
        <f>'HECVAT - Full'!A188</f>
        <v>DRPL-10</v>
      </c>
      <c r="B188" s="62" t="str">
        <f>VLOOKUP(A188,'HECVAT - Full'!A$24:B$312,2,FALSE)</f>
        <v>Has the Disaster Recovery Plan been tested in the last year?  Please provide a summary of the results in Additional Information (including actual recovery time).</v>
      </c>
      <c r="C188" s="32" t="s">
        <v>1437</v>
      </c>
      <c r="D188" s="63" t="s">
        <v>1438</v>
      </c>
      <c r="E188" s="184"/>
      <c r="F188" s="181"/>
      <c r="G188" s="181"/>
      <c r="H188" s="181"/>
      <c r="I188" s="181"/>
      <c r="J188" s="181"/>
      <c r="K188" s="181"/>
      <c r="L188" s="181"/>
      <c r="M188" s="181"/>
      <c r="N188" s="181"/>
      <c r="O188" s="181"/>
      <c r="P188" s="181"/>
      <c r="Q188" s="181"/>
      <c r="R188" s="181"/>
      <c r="S188" s="181"/>
      <c r="T188" s="181"/>
      <c r="U188" s="181"/>
      <c r="V188" s="181"/>
      <c r="W188" s="181"/>
      <c r="X188" s="181"/>
      <c r="Y188" s="6"/>
      <c r="Z188" s="6"/>
    </row>
    <row r="189" ht="63.75" customHeight="1">
      <c r="A189" s="51" t="str">
        <f>'HECVAT - Full'!A189</f>
        <v>DRPL-11</v>
      </c>
      <c r="B189" s="62" t="str">
        <f>VLOOKUP(A189,'HECVAT - Full'!A$24:B$312,2,FALSE)</f>
        <v>Do the documented test results identify your organizations actual recovery time capabilities for technology and facilities?</v>
      </c>
      <c r="C189" s="32" t="s">
        <v>1440</v>
      </c>
      <c r="D189" s="32" t="s">
        <v>1441</v>
      </c>
      <c r="E189" s="184"/>
      <c r="F189" s="181"/>
      <c r="G189" s="181"/>
      <c r="H189" s="181"/>
      <c r="I189" s="181"/>
      <c r="J189" s="181"/>
      <c r="K189" s="181"/>
      <c r="L189" s="181"/>
      <c r="M189" s="181"/>
      <c r="N189" s="181"/>
      <c r="O189" s="181"/>
      <c r="P189" s="181"/>
      <c r="Q189" s="181"/>
      <c r="R189" s="181"/>
      <c r="S189" s="181"/>
      <c r="T189" s="181"/>
      <c r="U189" s="181"/>
      <c r="V189" s="181"/>
      <c r="W189" s="181"/>
      <c r="X189" s="181"/>
      <c r="Y189" s="6"/>
      <c r="Z189" s="6"/>
    </row>
    <row r="190" ht="84.0" customHeight="1">
      <c r="A190" s="51" t="str">
        <f>'HECVAT - Full'!A190</f>
        <v>DRPL-12</v>
      </c>
      <c r="B190" s="62" t="str">
        <f>VLOOKUP(A190,'HECVAT - Full'!A$24:B$312,2,FALSE)</f>
        <v>Are all components of the DRP reviewed at least annually and updated as needed to reflect change? </v>
      </c>
      <c r="C190" s="32" t="s">
        <v>1437</v>
      </c>
      <c r="D190" s="63" t="s">
        <v>1438</v>
      </c>
      <c r="E190" s="184"/>
      <c r="F190" s="181"/>
      <c r="G190" s="181"/>
      <c r="H190" s="181"/>
      <c r="I190" s="181"/>
      <c r="J190" s="181"/>
      <c r="K190" s="181"/>
      <c r="L190" s="181"/>
      <c r="M190" s="181"/>
      <c r="N190" s="181"/>
      <c r="O190" s="181"/>
      <c r="P190" s="181"/>
      <c r="Q190" s="181"/>
      <c r="R190" s="181"/>
      <c r="S190" s="181"/>
      <c r="T190" s="181"/>
      <c r="U190" s="181"/>
      <c r="V190" s="181"/>
      <c r="W190" s="181"/>
      <c r="X190" s="181"/>
      <c r="Y190" s="6"/>
      <c r="Z190" s="6"/>
    </row>
    <row r="191" ht="82.5" customHeight="1">
      <c r="A191" s="51" t="str">
        <f>'HECVAT - Full'!A191</f>
        <v>DRPL-13</v>
      </c>
      <c r="B191" s="62" t="str">
        <f>VLOOKUP(A191,'HECVAT - Full'!A$24:B$312,2,FALSE)</f>
        <v>Do you carry cyber-risk insurance to protect against unforeseen service outages, data that is lost or stolen, and security incidents?</v>
      </c>
      <c r="C191" s="32" t="s">
        <v>1442</v>
      </c>
      <c r="D191" s="32" t="s">
        <v>1443</v>
      </c>
      <c r="E191" s="184"/>
      <c r="F191" s="181"/>
      <c r="G191" s="181"/>
      <c r="H191" s="181"/>
      <c r="I191" s="181"/>
      <c r="J191" s="181"/>
      <c r="K191" s="181"/>
      <c r="L191" s="181"/>
      <c r="M191" s="181"/>
      <c r="N191" s="181"/>
      <c r="O191" s="181"/>
      <c r="P191" s="181"/>
      <c r="Q191" s="181"/>
      <c r="R191" s="181"/>
      <c r="S191" s="181"/>
      <c r="T191" s="181"/>
      <c r="U191" s="181"/>
      <c r="V191" s="181"/>
      <c r="W191" s="181"/>
      <c r="X191" s="181"/>
      <c r="Y191" s="6"/>
      <c r="Z191" s="6"/>
    </row>
    <row r="192" ht="36.0" customHeight="1">
      <c r="A192" s="45" t="str">
        <f>IF($C$30="","Firewalls, IDS, IPS, and Networking",IF($C$30="Yes","FW/IDPS/Networks - Optional based on QUALIFIER response.","Firewalls, IDS, IPS, and Networking"))</f>
        <v>Firewalls, IDS, IPS, and Networking</v>
      </c>
      <c r="B192" s="14"/>
      <c r="C192" s="60" t="str">
        <f>$C$22</f>
        <v>Reason for Question</v>
      </c>
      <c r="D192" s="60" t="str">
        <f>$D$22</f>
        <v>Follow-up Inquiries/Responses</v>
      </c>
      <c r="E192" s="184"/>
      <c r="F192" s="181"/>
      <c r="G192" s="181"/>
      <c r="H192" s="181"/>
      <c r="I192" s="181"/>
      <c r="J192" s="181"/>
      <c r="K192" s="181"/>
      <c r="L192" s="181"/>
      <c r="M192" s="181"/>
      <c r="N192" s="181"/>
      <c r="O192" s="181"/>
      <c r="P192" s="181"/>
      <c r="Q192" s="181"/>
      <c r="R192" s="181"/>
      <c r="S192" s="181"/>
      <c r="T192" s="181"/>
      <c r="U192" s="181"/>
      <c r="V192" s="181"/>
      <c r="W192" s="181"/>
      <c r="X192" s="181"/>
      <c r="Y192" s="6"/>
      <c r="Z192" s="6"/>
    </row>
    <row r="193" ht="114.0" customHeight="1">
      <c r="A193" s="51" t="str">
        <f>'HECVAT - Full'!A193</f>
        <v>FIDP-01</v>
      </c>
      <c r="B193" s="62" t="str">
        <f>VLOOKUP(A193,'HECVAT - Full'!A$24:B$312,2,FALSE)</f>
        <v>Are you utilizing a web application firewall (WAF)?</v>
      </c>
      <c r="C193" s="32" t="s">
        <v>1444</v>
      </c>
      <c r="D193" s="32" t="s">
        <v>1445</v>
      </c>
      <c r="E193" s="184"/>
      <c r="F193" s="181"/>
      <c r="G193" s="181"/>
      <c r="H193" s="181"/>
      <c r="I193" s="181"/>
      <c r="J193" s="181"/>
      <c r="K193" s="181"/>
      <c r="L193" s="181"/>
      <c r="M193" s="181"/>
      <c r="N193" s="181"/>
      <c r="O193" s="181"/>
      <c r="P193" s="181"/>
      <c r="Q193" s="181"/>
      <c r="R193" s="181"/>
      <c r="S193" s="181"/>
      <c r="T193" s="181"/>
      <c r="U193" s="181"/>
      <c r="V193" s="181"/>
      <c r="W193" s="181"/>
      <c r="X193" s="181"/>
      <c r="Y193" s="6"/>
      <c r="Z193" s="6"/>
    </row>
    <row r="194" ht="114.0" customHeight="1">
      <c r="A194" s="51" t="str">
        <f>'HECVAT - Full'!A194</f>
        <v>FIDP-02</v>
      </c>
      <c r="B194" s="62" t="str">
        <f>VLOOKUP(A194,'HECVAT - Full'!A$24:B$312,2,FALSE)</f>
        <v>Are you utilizing a stateful packet inspection (SPI) firewall?</v>
      </c>
      <c r="C194" s="32" t="s">
        <v>1444</v>
      </c>
      <c r="D194" s="32" t="s">
        <v>1445</v>
      </c>
      <c r="E194" s="184"/>
      <c r="F194" s="181"/>
      <c r="G194" s="181"/>
      <c r="H194" s="181"/>
      <c r="I194" s="181"/>
      <c r="J194" s="181"/>
      <c r="K194" s="181"/>
      <c r="L194" s="181"/>
      <c r="M194" s="181"/>
      <c r="N194" s="181"/>
      <c r="O194" s="181"/>
      <c r="P194" s="181"/>
      <c r="Q194" s="181"/>
      <c r="R194" s="181"/>
      <c r="S194" s="181"/>
      <c r="T194" s="181"/>
      <c r="U194" s="181"/>
      <c r="V194" s="181"/>
      <c r="W194" s="181"/>
      <c r="X194" s="181"/>
      <c r="Y194" s="6"/>
      <c r="Z194" s="6"/>
    </row>
    <row r="195" ht="75.0" customHeight="1">
      <c r="A195" s="51" t="str">
        <f>'HECVAT - Full'!A195</f>
        <v>FIDP-03</v>
      </c>
      <c r="B195" s="62" t="str">
        <f>VLOOKUP(A195,'HECVAT - Full'!A$24:B$312,2,FALSE)</f>
        <v>State and describe who has the authority to change firewall rules?</v>
      </c>
      <c r="C195" s="32" t="s">
        <v>1446</v>
      </c>
      <c r="D195" s="32" t="s">
        <v>1447</v>
      </c>
      <c r="E195" s="184"/>
      <c r="F195" s="181"/>
      <c r="G195" s="181"/>
      <c r="H195" s="181"/>
      <c r="I195" s="181"/>
      <c r="J195" s="181"/>
      <c r="K195" s="181"/>
      <c r="L195" s="181"/>
      <c r="M195" s="181"/>
      <c r="N195" s="181"/>
      <c r="O195" s="181"/>
      <c r="P195" s="181"/>
      <c r="Q195" s="181"/>
      <c r="R195" s="181"/>
      <c r="S195" s="181"/>
      <c r="T195" s="181"/>
      <c r="U195" s="181"/>
      <c r="V195" s="181"/>
      <c r="W195" s="181"/>
      <c r="X195" s="181"/>
      <c r="Y195" s="6"/>
      <c r="Z195" s="6"/>
    </row>
    <row r="196" ht="96.0" customHeight="1">
      <c r="A196" s="51" t="str">
        <f>'HECVAT - Full'!A196</f>
        <v>FIDP-04</v>
      </c>
      <c r="B196" s="62" t="str">
        <f>VLOOKUP(A196,'HECVAT - Full'!A$24:B$312,2,FALSE)</f>
        <v>Do you have a documented policy for firewall change requests?</v>
      </c>
      <c r="C196" s="32" t="s">
        <v>1448</v>
      </c>
      <c r="D196" s="32" t="s">
        <v>1449</v>
      </c>
      <c r="E196" s="184"/>
      <c r="F196" s="181"/>
      <c r="G196" s="181"/>
      <c r="H196" s="181"/>
      <c r="I196" s="181"/>
      <c r="J196" s="181"/>
      <c r="K196" s="181"/>
      <c r="L196" s="181"/>
      <c r="M196" s="181"/>
      <c r="N196" s="181"/>
      <c r="O196" s="181"/>
      <c r="P196" s="181"/>
      <c r="Q196" s="181"/>
      <c r="R196" s="181"/>
      <c r="S196" s="181"/>
      <c r="T196" s="181"/>
      <c r="U196" s="181"/>
      <c r="V196" s="181"/>
      <c r="W196" s="181"/>
      <c r="X196" s="181"/>
      <c r="Y196" s="6"/>
      <c r="Z196" s="6"/>
    </row>
    <row r="197" ht="86.25" customHeight="1">
      <c r="A197" s="51" t="str">
        <f>'HECVAT - Full'!A197</f>
        <v>FIDP-05</v>
      </c>
      <c r="B197" s="62" t="str">
        <f>VLOOKUP(A197,'HECVAT - Full'!A$24:B$312,2,FALSE)</f>
        <v>Have you implemented an Intrusion Detection System (network-based)?</v>
      </c>
      <c r="C197" s="32" t="s">
        <v>1450</v>
      </c>
      <c r="D197" s="32" t="s">
        <v>1451</v>
      </c>
      <c r="E197" s="184"/>
      <c r="F197" s="181"/>
      <c r="G197" s="181"/>
      <c r="H197" s="181"/>
      <c r="I197" s="181"/>
      <c r="J197" s="181"/>
      <c r="K197" s="181"/>
      <c r="L197" s="181"/>
      <c r="M197" s="181"/>
      <c r="N197" s="181"/>
      <c r="O197" s="181"/>
      <c r="P197" s="181"/>
      <c r="Q197" s="181"/>
      <c r="R197" s="181"/>
      <c r="S197" s="181"/>
      <c r="T197" s="181"/>
      <c r="U197" s="181"/>
      <c r="V197" s="181"/>
      <c r="W197" s="181"/>
      <c r="X197" s="181"/>
      <c r="Y197" s="6"/>
      <c r="Z197" s="6"/>
    </row>
    <row r="198" ht="85.5" customHeight="1">
      <c r="A198" s="51" t="str">
        <f>'HECVAT - Full'!A198</f>
        <v>FIDP-06</v>
      </c>
      <c r="B198" s="62" t="str">
        <f>VLOOKUP(A198,'HECVAT - Full'!A$24:B$312,2,FALSE)</f>
        <v>Have you implemented an Intrusion Prevention System (network-based)?</v>
      </c>
      <c r="C198" s="32" t="s">
        <v>1452</v>
      </c>
      <c r="D198" s="32" t="s">
        <v>1453</v>
      </c>
      <c r="E198" s="184"/>
      <c r="F198" s="181"/>
      <c r="G198" s="181"/>
      <c r="H198" s="181"/>
      <c r="I198" s="181"/>
      <c r="J198" s="181"/>
      <c r="K198" s="181"/>
      <c r="L198" s="181"/>
      <c r="M198" s="181"/>
      <c r="N198" s="181"/>
      <c r="O198" s="181"/>
      <c r="P198" s="181"/>
      <c r="Q198" s="181"/>
      <c r="R198" s="181"/>
      <c r="S198" s="181"/>
      <c r="T198" s="181"/>
      <c r="U198" s="181"/>
      <c r="V198" s="181"/>
      <c r="W198" s="181"/>
      <c r="X198" s="181"/>
      <c r="Y198" s="6"/>
      <c r="Z198" s="6"/>
    </row>
    <row r="199" ht="84.75" customHeight="1">
      <c r="A199" s="51" t="str">
        <f>'HECVAT - Full'!A199</f>
        <v>FIDP-07</v>
      </c>
      <c r="B199" s="62" t="str">
        <f>VLOOKUP(A199,'HECVAT - Full'!A$24:B$312,2,FALSE)</f>
        <v>Do you employ host-based intrusion detection?</v>
      </c>
      <c r="C199" s="32" t="s">
        <v>1450</v>
      </c>
      <c r="D199" s="32" t="s">
        <v>1454</v>
      </c>
      <c r="E199" s="184"/>
      <c r="F199" s="181"/>
      <c r="G199" s="181"/>
      <c r="H199" s="181"/>
      <c r="I199" s="181"/>
      <c r="J199" s="181"/>
      <c r="K199" s="181"/>
      <c r="L199" s="181"/>
      <c r="M199" s="181"/>
      <c r="N199" s="181"/>
      <c r="O199" s="181"/>
      <c r="P199" s="181"/>
      <c r="Q199" s="181"/>
      <c r="R199" s="181"/>
      <c r="S199" s="181"/>
      <c r="T199" s="181"/>
      <c r="U199" s="181"/>
      <c r="V199" s="181"/>
      <c r="W199" s="181"/>
      <c r="X199" s="181"/>
      <c r="Y199" s="6"/>
      <c r="Z199" s="6"/>
    </row>
    <row r="200" ht="84.75" customHeight="1">
      <c r="A200" s="51" t="str">
        <f>'HECVAT - Full'!A200</f>
        <v>FIDP-08</v>
      </c>
      <c r="B200" s="62" t="str">
        <f>VLOOKUP(A200,'HECVAT - Full'!A$24:B$312,2,FALSE)</f>
        <v>Do you employ host-based intrusion prevention?</v>
      </c>
      <c r="C200" s="32" t="s">
        <v>1452</v>
      </c>
      <c r="D200" s="32" t="s">
        <v>1455</v>
      </c>
      <c r="E200" s="184"/>
      <c r="F200" s="181"/>
      <c r="G200" s="181"/>
      <c r="H200" s="181"/>
      <c r="I200" s="181"/>
      <c r="J200" s="181"/>
      <c r="K200" s="181"/>
      <c r="L200" s="181"/>
      <c r="M200" s="181"/>
      <c r="N200" s="181"/>
      <c r="O200" s="181"/>
      <c r="P200" s="181"/>
      <c r="Q200" s="181"/>
      <c r="R200" s="181"/>
      <c r="S200" s="181"/>
      <c r="T200" s="181"/>
      <c r="U200" s="181"/>
      <c r="V200" s="181"/>
      <c r="W200" s="181"/>
      <c r="X200" s="181"/>
      <c r="Y200" s="6"/>
      <c r="Z200" s="6"/>
    </row>
    <row r="201" ht="99.75" customHeight="1">
      <c r="A201" s="51" t="str">
        <f>'HECVAT - Full'!A201</f>
        <v>FIDP-09</v>
      </c>
      <c r="B201" s="62" t="str">
        <f>VLOOKUP(A201,'HECVAT - Full'!A$24:B$312,2,FALSE)</f>
        <v>Are you employing any next-generation persistent threat (NGPT) monitoring?</v>
      </c>
      <c r="C201" s="32" t="s">
        <v>1456</v>
      </c>
      <c r="D201" s="32" t="s">
        <v>1457</v>
      </c>
      <c r="E201" s="184"/>
      <c r="F201" s="181"/>
      <c r="G201" s="181"/>
      <c r="H201" s="181"/>
      <c r="I201" s="181"/>
      <c r="J201" s="181"/>
      <c r="K201" s="181"/>
      <c r="L201" s="181"/>
      <c r="M201" s="181"/>
      <c r="N201" s="181"/>
      <c r="O201" s="181"/>
      <c r="P201" s="181"/>
      <c r="Q201" s="181"/>
      <c r="R201" s="181"/>
      <c r="S201" s="181"/>
      <c r="T201" s="181"/>
      <c r="U201" s="181"/>
      <c r="V201" s="181"/>
      <c r="W201" s="181"/>
      <c r="X201" s="181"/>
      <c r="Y201" s="6"/>
      <c r="Z201" s="6"/>
    </row>
    <row r="202" ht="96.0" customHeight="1">
      <c r="A202" s="51" t="str">
        <f>'HECVAT - Full'!A202</f>
        <v>FIDP-10</v>
      </c>
      <c r="B202" s="62" t="str">
        <f>VLOOKUP(A202,'HECVAT - Full'!A$24:B$312,2,FALSE)</f>
        <v>Do you monitor for intrusions on a 24x7x365 basis?</v>
      </c>
      <c r="C202" s="32" t="s">
        <v>1458</v>
      </c>
      <c r="D202" s="32" t="s">
        <v>1459</v>
      </c>
      <c r="E202" s="184"/>
      <c r="F202" s="181"/>
      <c r="G202" s="181"/>
      <c r="H202" s="181"/>
      <c r="I202" s="181"/>
      <c r="J202" s="181"/>
      <c r="K202" s="181"/>
      <c r="L202" s="181"/>
      <c r="M202" s="181"/>
      <c r="N202" s="181"/>
      <c r="O202" s="181"/>
      <c r="P202" s="181"/>
      <c r="Q202" s="181"/>
      <c r="R202" s="181"/>
      <c r="S202" s="181"/>
      <c r="T202" s="181"/>
      <c r="U202" s="181"/>
      <c r="V202" s="181"/>
      <c r="W202" s="181"/>
      <c r="X202" s="181"/>
      <c r="Y202" s="6"/>
      <c r="Z202" s="6"/>
    </row>
    <row r="203" ht="84.0" customHeight="1">
      <c r="A203" s="51" t="str">
        <f>'HECVAT - Full'!A203</f>
        <v>FIDP-11</v>
      </c>
      <c r="B203" s="62" t="str">
        <f>VLOOKUP(A203,'HECVAT - Full'!A$24:B$312,2,FALSE)</f>
        <v>Is intrusion monitoring performed internally or by a third-party service?</v>
      </c>
      <c r="C203" s="32" t="s">
        <v>1460</v>
      </c>
      <c r="D203" s="32" t="s">
        <v>1461</v>
      </c>
      <c r="E203" s="184"/>
      <c r="F203" s="181"/>
      <c r="G203" s="181"/>
      <c r="H203" s="181"/>
      <c r="I203" s="181"/>
      <c r="J203" s="181"/>
      <c r="K203" s="181"/>
      <c r="L203" s="181"/>
      <c r="M203" s="181"/>
      <c r="N203" s="181"/>
      <c r="O203" s="181"/>
      <c r="P203" s="181"/>
      <c r="Q203" s="181"/>
      <c r="R203" s="181"/>
      <c r="S203" s="181"/>
      <c r="T203" s="181"/>
      <c r="U203" s="181"/>
      <c r="V203" s="181"/>
      <c r="W203" s="181"/>
      <c r="X203" s="181"/>
      <c r="Y203" s="6"/>
      <c r="Z203" s="6"/>
    </row>
    <row r="204" ht="102.75" customHeight="1">
      <c r="A204" s="51" t="str">
        <f>'HECVAT - Full'!A204</f>
        <v>FIDP-12</v>
      </c>
      <c r="B204" s="62" t="str">
        <f>VLOOKUP(A204,'HECVAT - Full'!A$24:B$312,2,FALSE)</f>
        <v>Are audit logs available for all changes to the network, firewall, IDS, and IPS systems?</v>
      </c>
      <c r="C204" s="32" t="s">
        <v>1462</v>
      </c>
      <c r="D204" s="32" t="s">
        <v>1463</v>
      </c>
      <c r="E204" s="184"/>
      <c r="F204" s="181"/>
      <c r="G204" s="181"/>
      <c r="H204" s="181"/>
      <c r="I204" s="181"/>
      <c r="J204" s="181"/>
      <c r="K204" s="181"/>
      <c r="L204" s="181"/>
      <c r="M204" s="181"/>
      <c r="N204" s="181"/>
      <c r="O204" s="181"/>
      <c r="P204" s="181"/>
      <c r="Q204" s="181"/>
      <c r="R204" s="181"/>
      <c r="S204" s="181"/>
      <c r="T204" s="181"/>
      <c r="U204" s="181"/>
      <c r="V204" s="181"/>
      <c r="W204" s="181"/>
      <c r="X204" s="181"/>
      <c r="Y204" s="6"/>
      <c r="Z204" s="6"/>
    </row>
    <row r="205" ht="36.0" customHeight="1">
      <c r="A205" s="45" t="str">
        <f>IF(OR($C$25="No",$C$30="Yes"),"Mobile Applications - Optional based on QUALIFIER response.","Mobile Applications")</f>
        <v>Mobile Applications</v>
      </c>
      <c r="B205" s="14"/>
      <c r="C205" s="60" t="str">
        <f>$C$22</f>
        <v>Reason for Question</v>
      </c>
      <c r="D205" s="60" t="str">
        <f>$D$22</f>
        <v>Follow-up Inquiries/Responses</v>
      </c>
      <c r="E205" s="184"/>
      <c r="F205" s="181"/>
      <c r="G205" s="181"/>
      <c r="H205" s="181"/>
      <c r="I205" s="181"/>
      <c r="J205" s="181"/>
      <c r="K205" s="181"/>
      <c r="L205" s="181"/>
      <c r="M205" s="181"/>
      <c r="N205" s="181"/>
      <c r="O205" s="181"/>
      <c r="P205" s="181"/>
      <c r="Q205" s="181"/>
      <c r="R205" s="181"/>
      <c r="S205" s="181"/>
      <c r="T205" s="181"/>
      <c r="U205" s="181"/>
      <c r="V205" s="181"/>
      <c r="W205" s="181"/>
      <c r="X205" s="181"/>
      <c r="Y205" s="6"/>
      <c r="Z205" s="6"/>
    </row>
    <row r="206" ht="64.5" customHeight="1">
      <c r="A206" s="51" t="str">
        <f>'HECVAT - Full'!A206</f>
        <v>MAPP-01</v>
      </c>
      <c r="B206" s="62" t="str">
        <f>VLOOKUP(A206,'HECVAT - Full'!A$24:B$312,2,FALSE)</f>
        <v>On which mobile operating systems is your software or service supported?</v>
      </c>
      <c r="C206" s="32" t="s">
        <v>1464</v>
      </c>
      <c r="D206" s="32" t="s">
        <v>1465</v>
      </c>
      <c r="E206" s="184"/>
      <c r="F206" s="181"/>
      <c r="G206" s="181"/>
      <c r="H206" s="181"/>
      <c r="I206" s="181"/>
      <c r="J206" s="181"/>
      <c r="K206" s="181"/>
      <c r="L206" s="181"/>
      <c r="M206" s="181"/>
      <c r="N206" s="181"/>
      <c r="O206" s="181"/>
      <c r="P206" s="181"/>
      <c r="Q206" s="181"/>
      <c r="R206" s="181"/>
      <c r="S206" s="181"/>
      <c r="T206" s="181"/>
      <c r="U206" s="181"/>
      <c r="V206" s="181"/>
      <c r="W206" s="181"/>
      <c r="X206" s="181"/>
      <c r="Y206" s="6"/>
      <c r="Z206" s="6"/>
    </row>
    <row r="207" ht="82.5" customHeight="1">
      <c r="A207" s="51" t="str">
        <f>'HECVAT - Full'!A207</f>
        <v>MAPP-02</v>
      </c>
      <c r="B207" s="62" t="str">
        <f>VLOOKUP(A207,'HECVAT - Full'!A$24:B$312,2,FALSE)</f>
        <v>Describe or provide a reference to the application's architecture and functionality.</v>
      </c>
      <c r="C207" s="32" t="s">
        <v>1466</v>
      </c>
      <c r="D207" s="32" t="s">
        <v>1467</v>
      </c>
      <c r="E207" s="184"/>
      <c r="F207" s="181"/>
      <c r="G207" s="181"/>
      <c r="H207" s="181"/>
      <c r="I207" s="181"/>
      <c r="J207" s="181"/>
      <c r="K207" s="181"/>
      <c r="L207" s="181"/>
      <c r="M207" s="181"/>
      <c r="N207" s="181"/>
      <c r="O207" s="181"/>
      <c r="P207" s="181"/>
      <c r="Q207" s="181"/>
      <c r="R207" s="181"/>
      <c r="S207" s="181"/>
      <c r="T207" s="181"/>
      <c r="U207" s="181"/>
      <c r="V207" s="181"/>
      <c r="W207" s="181"/>
      <c r="X207" s="181"/>
      <c r="Y207" s="6"/>
      <c r="Z207" s="6"/>
    </row>
    <row r="208" ht="72.75" customHeight="1">
      <c r="A208" s="51" t="str">
        <f>'HECVAT - Full'!A208</f>
        <v>MAPP-03</v>
      </c>
      <c r="B208" s="62" t="str">
        <f>VLOOKUP(A208,'HECVAT - Full'!A$24:B$312,2,FALSE)</f>
        <v>Is the application available from a trusted source (e.g., iTunes App Store, Android Market, BB World)?</v>
      </c>
      <c r="C208" s="32" t="s">
        <v>1468</v>
      </c>
      <c r="D208" s="32" t="s">
        <v>1469</v>
      </c>
      <c r="E208" s="184"/>
      <c r="F208" s="181"/>
      <c r="G208" s="181"/>
      <c r="H208" s="181"/>
      <c r="I208" s="181"/>
      <c r="J208" s="181"/>
      <c r="K208" s="181"/>
      <c r="L208" s="181"/>
      <c r="M208" s="181"/>
      <c r="N208" s="181"/>
      <c r="O208" s="181"/>
      <c r="P208" s="181"/>
      <c r="Q208" s="181"/>
      <c r="R208" s="181"/>
      <c r="S208" s="181"/>
      <c r="T208" s="181"/>
      <c r="U208" s="181"/>
      <c r="V208" s="181"/>
      <c r="W208" s="181"/>
      <c r="X208" s="181"/>
      <c r="Y208" s="6"/>
      <c r="Z208" s="6"/>
    </row>
    <row r="209" ht="57.0" customHeight="1">
      <c r="A209" s="51" t="str">
        <f>'HECVAT - Full'!A209</f>
        <v>MAPP-04</v>
      </c>
      <c r="B209" s="62" t="str">
        <f>VLOOKUP(A209,'HECVAT - Full'!A$24:B$312,2,FALSE)</f>
        <v>Does the application store, process, or transmit critical data?</v>
      </c>
      <c r="C209" s="32" t="s">
        <v>1470</v>
      </c>
      <c r="D209" s="32" t="s">
        <v>1471</v>
      </c>
      <c r="E209" s="184"/>
      <c r="F209" s="181"/>
      <c r="G209" s="181"/>
      <c r="H209" s="181"/>
      <c r="I209" s="181"/>
      <c r="J209" s="181"/>
      <c r="K209" s="181"/>
      <c r="L209" s="181"/>
      <c r="M209" s="181"/>
      <c r="N209" s="181"/>
      <c r="O209" s="181"/>
      <c r="P209" s="181"/>
      <c r="Q209" s="181"/>
      <c r="R209" s="181"/>
      <c r="S209" s="181"/>
      <c r="T209" s="181"/>
      <c r="U209" s="181"/>
      <c r="V209" s="181"/>
      <c r="W209" s="181"/>
      <c r="X209" s="181"/>
      <c r="Y209" s="6"/>
      <c r="Z209" s="6"/>
    </row>
    <row r="210" ht="64.5" customHeight="1">
      <c r="A210" s="51" t="str">
        <f>'HECVAT - Full'!A210</f>
        <v>MAPP-05</v>
      </c>
      <c r="B210" s="62" t="str">
        <f>VLOOKUP(A210,'HECVAT - Full'!A$24:B$312,2,FALSE)</f>
        <v>Is Institution's data encrypted in transport?</v>
      </c>
      <c r="C210" s="32" t="s">
        <v>1472</v>
      </c>
      <c r="D210" s="32" t="s">
        <v>1473</v>
      </c>
      <c r="E210" s="184"/>
      <c r="F210" s="181"/>
      <c r="G210" s="181"/>
      <c r="H210" s="181"/>
      <c r="I210" s="181"/>
      <c r="J210" s="181"/>
      <c r="K210" s="181"/>
      <c r="L210" s="181"/>
      <c r="M210" s="181"/>
      <c r="N210" s="181"/>
      <c r="O210" s="181"/>
      <c r="P210" s="181"/>
      <c r="Q210" s="181"/>
      <c r="R210" s="181"/>
      <c r="S210" s="181"/>
      <c r="T210" s="181"/>
      <c r="U210" s="181"/>
      <c r="V210" s="181"/>
      <c r="W210" s="181"/>
      <c r="X210" s="181"/>
      <c r="Y210" s="6"/>
      <c r="Z210" s="6"/>
    </row>
    <row r="211" ht="64.5" customHeight="1">
      <c r="A211" s="51" t="str">
        <f>'HECVAT - Full'!A211</f>
        <v>MAPP-06</v>
      </c>
      <c r="B211" s="62" t="str">
        <f>VLOOKUP(A211,'HECVAT - Full'!A$24:B$312,2,FALSE)</f>
        <v>Is Institution's data encrypted in storage? (e.g. disk encryption, at-rest)</v>
      </c>
      <c r="C211" s="32" t="s">
        <v>1246</v>
      </c>
      <c r="D211" s="32" t="s">
        <v>1362</v>
      </c>
      <c r="E211" s="184"/>
      <c r="F211" s="181"/>
      <c r="G211" s="181"/>
      <c r="H211" s="181"/>
      <c r="I211" s="181"/>
      <c r="J211" s="181"/>
      <c r="K211" s="181"/>
      <c r="L211" s="181"/>
      <c r="M211" s="181"/>
      <c r="N211" s="181"/>
      <c r="O211" s="181"/>
      <c r="P211" s="181"/>
      <c r="Q211" s="181"/>
      <c r="R211" s="181"/>
      <c r="S211" s="181"/>
      <c r="T211" s="181"/>
      <c r="U211" s="181"/>
      <c r="V211" s="181"/>
      <c r="W211" s="181"/>
      <c r="X211" s="181"/>
      <c r="Y211" s="6"/>
      <c r="Z211" s="6"/>
    </row>
    <row r="212" ht="99.75" customHeight="1">
      <c r="A212" s="51" t="str">
        <f>'HECVAT - Full'!A212</f>
        <v>MAPP-07</v>
      </c>
      <c r="B212" s="62" t="str">
        <f>VLOOKUP(A212,'HECVAT - Full'!A$24:B$312,2,FALSE)</f>
        <v>Does the mobile application support Kerberos, CAS, or Active Directory authentication?</v>
      </c>
      <c r="C212" s="32" t="s">
        <v>1288</v>
      </c>
      <c r="D212" s="32" t="s">
        <v>1289</v>
      </c>
      <c r="E212" s="184"/>
      <c r="F212" s="181"/>
      <c r="G212" s="181"/>
      <c r="H212" s="181"/>
      <c r="I212" s="181"/>
      <c r="J212" s="181"/>
      <c r="K212" s="181"/>
      <c r="L212" s="181"/>
      <c r="M212" s="181"/>
      <c r="N212" s="181"/>
      <c r="O212" s="181"/>
      <c r="P212" s="181"/>
      <c r="Q212" s="181"/>
      <c r="R212" s="181"/>
      <c r="S212" s="181"/>
      <c r="T212" s="181"/>
      <c r="U212" s="181"/>
      <c r="V212" s="181"/>
      <c r="W212" s="181"/>
      <c r="X212" s="181"/>
      <c r="Y212" s="6"/>
      <c r="Z212" s="6"/>
    </row>
    <row r="213" ht="85.5" customHeight="1">
      <c r="A213" s="51" t="str">
        <f>'HECVAT - Full'!A213</f>
        <v>MAPP-08</v>
      </c>
      <c r="B213" s="62" t="str">
        <f>VLOOKUP(A213,'HECVAT - Full'!A$24:B$312,2,FALSE)</f>
        <v>Will any of these systems be implemented on systems hosting the Institution's data?</v>
      </c>
      <c r="C213" s="32" t="s">
        <v>1299</v>
      </c>
      <c r="D213" s="32" t="s">
        <v>1300</v>
      </c>
      <c r="E213" s="184"/>
      <c r="F213" s="181"/>
      <c r="G213" s="181"/>
      <c r="H213" s="181"/>
      <c r="I213" s="181"/>
      <c r="J213" s="181"/>
      <c r="K213" s="181"/>
      <c r="L213" s="181"/>
      <c r="M213" s="181"/>
      <c r="N213" s="181"/>
      <c r="O213" s="181"/>
      <c r="P213" s="181"/>
      <c r="Q213" s="181"/>
      <c r="R213" s="181"/>
      <c r="S213" s="181"/>
      <c r="T213" s="181"/>
      <c r="U213" s="181"/>
      <c r="V213" s="181"/>
      <c r="W213" s="181"/>
      <c r="X213" s="181"/>
      <c r="Y213" s="6"/>
      <c r="Z213" s="6"/>
    </row>
    <row r="214" ht="84.75" customHeight="1">
      <c r="A214" s="51" t="str">
        <f>'HECVAT - Full'!A214</f>
        <v>MAPP-09</v>
      </c>
      <c r="B214" s="62" t="str">
        <f>VLOOKUP(A214,'HECVAT - Full'!A$24:B$312,2,FALSE)</f>
        <v>Does the application adhere to secure coding practices (e.g. OWASP, etc.)?</v>
      </c>
      <c r="C214" s="32" t="s">
        <v>1474</v>
      </c>
      <c r="D214" s="32" t="s">
        <v>1475</v>
      </c>
      <c r="E214" s="184"/>
      <c r="F214" s="181"/>
      <c r="G214" s="181"/>
      <c r="H214" s="181"/>
      <c r="I214" s="181"/>
      <c r="J214" s="181"/>
      <c r="K214" s="181"/>
      <c r="L214" s="181"/>
      <c r="M214" s="181"/>
      <c r="N214" s="181"/>
      <c r="O214" s="181"/>
      <c r="P214" s="181"/>
      <c r="Q214" s="181"/>
      <c r="R214" s="181"/>
      <c r="S214" s="181"/>
      <c r="T214" s="181"/>
      <c r="U214" s="181"/>
      <c r="V214" s="181"/>
      <c r="W214" s="181"/>
      <c r="X214" s="181"/>
      <c r="Y214" s="6"/>
      <c r="Z214" s="6"/>
    </row>
    <row r="215" ht="128.25" customHeight="1">
      <c r="A215" s="51" t="str">
        <f>'HECVAT - Full'!A215</f>
        <v>MAPP-10</v>
      </c>
      <c r="B215" s="62" t="str">
        <f>VLOOKUP(A215,'HECVAT - Full'!A$24:B$312,2,FALSE)</f>
        <v>Has the application been tested for vulnerabilities by a third party?</v>
      </c>
      <c r="C215" s="32" t="s">
        <v>1476</v>
      </c>
      <c r="D215" s="32" t="s">
        <v>1477</v>
      </c>
      <c r="E215" s="184"/>
      <c r="F215" s="181"/>
      <c r="G215" s="181"/>
      <c r="H215" s="181"/>
      <c r="I215" s="181"/>
      <c r="J215" s="181"/>
      <c r="K215" s="181"/>
      <c r="L215" s="181"/>
      <c r="M215" s="181"/>
      <c r="N215" s="181"/>
      <c r="O215" s="181"/>
      <c r="P215" s="181"/>
      <c r="Q215" s="181"/>
      <c r="R215" s="181"/>
      <c r="S215" s="181"/>
      <c r="T215" s="181"/>
      <c r="U215" s="181"/>
      <c r="V215" s="181"/>
      <c r="W215" s="181"/>
      <c r="X215" s="181"/>
      <c r="Y215" s="6"/>
      <c r="Z215" s="6"/>
    </row>
    <row r="216" ht="128.25" customHeight="1">
      <c r="A216" s="51" t="str">
        <f>'HECVAT - Full'!A216</f>
        <v>MAPP-11</v>
      </c>
      <c r="B216" s="62" t="str">
        <f>VLOOKUP(A216,'HECVAT - Full'!A$24:B$312,2,FALSE)</f>
        <v>State the party that performed the vulnerability test and the date it was conducted?</v>
      </c>
      <c r="C216" s="32" t="s">
        <v>1476</v>
      </c>
      <c r="D216" s="32" t="s">
        <v>1478</v>
      </c>
      <c r="E216" s="184"/>
      <c r="F216" s="181"/>
      <c r="G216" s="181"/>
      <c r="H216" s="181"/>
      <c r="I216" s="181"/>
      <c r="J216" s="181"/>
      <c r="K216" s="181"/>
      <c r="L216" s="181"/>
      <c r="M216" s="181"/>
      <c r="N216" s="181"/>
      <c r="O216" s="181"/>
      <c r="P216" s="181"/>
      <c r="Q216" s="181"/>
      <c r="R216" s="181"/>
      <c r="S216" s="181"/>
      <c r="T216" s="181"/>
      <c r="U216" s="181"/>
      <c r="V216" s="181"/>
      <c r="W216" s="181"/>
      <c r="X216" s="181"/>
      <c r="Y216" s="6"/>
      <c r="Z216" s="6"/>
    </row>
    <row r="217" ht="36.0" customHeight="1">
      <c r="A217" s="45" t="str">
        <f>IF($C$30="","Physical Security",IF($C$30="Yes","Physical Security - Optional based on QUALIFIER response.","Physical Security"))</f>
        <v>Physical Security</v>
      </c>
      <c r="B217" s="14"/>
      <c r="C217" s="60" t="str">
        <f>$C$22</f>
        <v>Reason for Question</v>
      </c>
      <c r="D217" s="60" t="str">
        <f>$D$22</f>
        <v>Follow-up Inquiries/Responses</v>
      </c>
      <c r="E217" s="184"/>
      <c r="F217" s="181"/>
      <c r="G217" s="181"/>
      <c r="H217" s="181"/>
      <c r="I217" s="181"/>
      <c r="J217" s="181"/>
      <c r="K217" s="181"/>
      <c r="L217" s="181"/>
      <c r="M217" s="181"/>
      <c r="N217" s="181"/>
      <c r="O217" s="181"/>
      <c r="P217" s="181"/>
      <c r="Q217" s="181"/>
      <c r="R217" s="181"/>
      <c r="S217" s="181"/>
      <c r="T217" s="181"/>
      <c r="U217" s="181"/>
      <c r="V217" s="181"/>
      <c r="W217" s="181"/>
      <c r="X217" s="181"/>
      <c r="Y217" s="6"/>
      <c r="Z217" s="6"/>
    </row>
    <row r="218" ht="96.0" customHeight="1">
      <c r="A218" s="51" t="str">
        <f>'HECVAT - Full'!A218</f>
        <v>PHYS-01</v>
      </c>
      <c r="B218" s="51" t="str">
        <f>VLOOKUP(A218,'HECVAT - Full'!A$24:B$312,2,FALSE)</f>
        <v>Does your organization have physical security controls and policies in place?</v>
      </c>
      <c r="C218" s="244" t="s">
        <v>1479</v>
      </c>
      <c r="D218" s="245" t="s">
        <v>1480</v>
      </c>
      <c r="E218" s="234"/>
      <c r="F218" s="235"/>
      <c r="G218" s="235"/>
      <c r="H218" s="235"/>
      <c r="I218" s="235"/>
      <c r="J218" s="235"/>
      <c r="K218" s="235"/>
      <c r="L218" s="235"/>
      <c r="M218" s="235"/>
      <c r="N218" s="235"/>
      <c r="O218" s="235"/>
      <c r="P218" s="235"/>
      <c r="Q218" s="235"/>
      <c r="R218" s="235"/>
      <c r="S218" s="235"/>
      <c r="T218" s="235"/>
      <c r="U218" s="235"/>
      <c r="V218" s="235"/>
      <c r="W218" s="235"/>
      <c r="X218" s="235"/>
      <c r="Y218" s="6"/>
      <c r="Z218" s="6"/>
    </row>
    <row r="219" ht="114.0" customHeight="1">
      <c r="A219" s="51" t="str">
        <f>'HECVAT - Full'!A219</f>
        <v>PHYS-02</v>
      </c>
      <c r="B219" s="62" t="str">
        <f>VLOOKUP(A219,'HECVAT - Full'!A$24:B$312,2,FALSE)</f>
        <v>Are employees allowed to take home Institution's data in any form?</v>
      </c>
      <c r="C219" s="32" t="s">
        <v>1481</v>
      </c>
      <c r="D219" s="32" t="s">
        <v>1482</v>
      </c>
      <c r="E219" s="184"/>
      <c r="F219" s="181"/>
      <c r="G219" s="181"/>
      <c r="H219" s="181"/>
      <c r="I219" s="181"/>
      <c r="J219" s="181"/>
      <c r="K219" s="181"/>
      <c r="L219" s="181"/>
      <c r="M219" s="181"/>
      <c r="N219" s="181"/>
      <c r="O219" s="181"/>
      <c r="P219" s="181"/>
      <c r="Q219" s="181"/>
      <c r="R219" s="181"/>
      <c r="S219" s="181"/>
      <c r="T219" s="181"/>
      <c r="U219" s="181"/>
      <c r="V219" s="181"/>
      <c r="W219" s="181"/>
      <c r="X219" s="181"/>
      <c r="Y219" s="6"/>
      <c r="Z219" s="6"/>
    </row>
    <row r="220" ht="48.0" customHeight="1">
      <c r="A220" s="51" t="str">
        <f>'HECVAT - Full'!A220</f>
        <v>PHYS-03</v>
      </c>
      <c r="B220" s="62" t="str">
        <f>VLOOKUP(A220,'HECVAT - Full'!A$24:B$312,2,FALSE)</f>
        <v>Are video monitoring feeds retained?</v>
      </c>
      <c r="C220" s="32" t="s">
        <v>1483</v>
      </c>
      <c r="D220" s="32" t="s">
        <v>1484</v>
      </c>
      <c r="E220" s="184"/>
      <c r="F220" s="181"/>
      <c r="G220" s="181"/>
      <c r="H220" s="181"/>
      <c r="I220" s="181"/>
      <c r="J220" s="181"/>
      <c r="K220" s="181"/>
      <c r="L220" s="181"/>
      <c r="M220" s="181"/>
      <c r="N220" s="181"/>
      <c r="O220" s="181"/>
      <c r="P220" s="181"/>
      <c r="Q220" s="181"/>
      <c r="R220" s="181"/>
      <c r="S220" s="181"/>
      <c r="T220" s="181"/>
      <c r="U220" s="181"/>
      <c r="V220" s="181"/>
      <c r="W220" s="181"/>
      <c r="X220" s="181"/>
      <c r="Y220" s="6"/>
      <c r="Z220" s="6"/>
    </row>
    <row r="221" ht="48.0" customHeight="1">
      <c r="A221" s="51" t="str">
        <f>'HECVAT - Full'!A221</f>
        <v>PHYS-04</v>
      </c>
      <c r="B221" s="62" t="str">
        <f>VLOOKUP(A221,'HECVAT - Full'!A$24:B$312,2,FALSE)</f>
        <v>Are video feeds monitored by datacenter staff?</v>
      </c>
      <c r="C221" s="32" t="s">
        <v>1483</v>
      </c>
      <c r="D221" s="32" t="s">
        <v>1485</v>
      </c>
      <c r="E221" s="184"/>
      <c r="F221" s="181"/>
      <c r="G221" s="181"/>
      <c r="H221" s="181"/>
      <c r="I221" s="181"/>
      <c r="J221" s="181"/>
      <c r="K221" s="181"/>
      <c r="L221" s="181"/>
      <c r="M221" s="181"/>
      <c r="N221" s="181"/>
      <c r="O221" s="181"/>
      <c r="P221" s="181"/>
      <c r="Q221" s="181"/>
      <c r="R221" s="181"/>
      <c r="S221" s="181"/>
      <c r="T221" s="181"/>
      <c r="U221" s="181"/>
      <c r="V221" s="181"/>
      <c r="W221" s="181"/>
      <c r="X221" s="181"/>
      <c r="Y221" s="6"/>
      <c r="Z221" s="6"/>
    </row>
    <row r="222" ht="84.0" customHeight="1">
      <c r="A222" s="51" t="str">
        <f>'HECVAT - Full'!A222</f>
        <v>PHYS-05</v>
      </c>
      <c r="B222" s="62" t="str">
        <f>VLOOKUP(A222,'HECVAT - Full'!A$24:B$312,2,FALSE)</f>
        <v>Are individuals required to sign in/out for installation and removal of equipment?</v>
      </c>
      <c r="C222" s="32" t="s">
        <v>1486</v>
      </c>
      <c r="D222" s="32" t="s">
        <v>1394</v>
      </c>
      <c r="E222" s="184"/>
      <c r="F222" s="181"/>
      <c r="G222" s="181"/>
      <c r="H222" s="181"/>
      <c r="I222" s="181"/>
      <c r="J222" s="181"/>
      <c r="K222" s="181"/>
      <c r="L222" s="181"/>
      <c r="M222" s="181"/>
      <c r="N222" s="181"/>
      <c r="O222" s="181"/>
      <c r="P222" s="181"/>
      <c r="Q222" s="181"/>
      <c r="R222" s="181"/>
      <c r="S222" s="181"/>
      <c r="T222" s="181"/>
      <c r="U222" s="181"/>
      <c r="V222" s="181"/>
      <c r="W222" s="181"/>
      <c r="X222" s="181"/>
      <c r="Y222" s="6"/>
      <c r="Z222" s="6"/>
    </row>
    <row r="223" ht="36.0" customHeight="1">
      <c r="A223" s="45" t="str">
        <f>IF($C$30="","Policies, Procedures, and Processes",IF($C$30="Yes","Pol/Pro/Proc - Optional based on QUALIFIER response.","Policies, Procedures, and Processes"))</f>
        <v>Policies, Procedures, and Processes</v>
      </c>
      <c r="B223" s="14"/>
      <c r="C223" s="60" t="str">
        <f>$C$22</f>
        <v>Reason for Question</v>
      </c>
      <c r="D223" s="60" t="str">
        <f>$D$22</f>
        <v>Follow-up Inquiries/Responses</v>
      </c>
      <c r="E223" s="184"/>
      <c r="F223" s="181"/>
      <c r="G223" s="181"/>
      <c r="H223" s="181"/>
      <c r="I223" s="181"/>
      <c r="J223" s="181"/>
      <c r="K223" s="181"/>
      <c r="L223" s="181"/>
      <c r="M223" s="181"/>
      <c r="N223" s="181"/>
      <c r="O223" s="181"/>
      <c r="P223" s="181"/>
      <c r="Q223" s="181"/>
      <c r="R223" s="181"/>
      <c r="S223" s="181"/>
      <c r="T223" s="181"/>
      <c r="U223" s="181"/>
      <c r="V223" s="181"/>
      <c r="W223" s="181"/>
      <c r="X223" s="181"/>
      <c r="Y223" s="6"/>
      <c r="Z223" s="6"/>
    </row>
    <row r="224" ht="114.0" customHeight="1">
      <c r="A224" s="51" t="str">
        <f>'HECVAT - Full'!A224</f>
        <v>PPPR-01</v>
      </c>
      <c r="B224" s="62" t="str">
        <f>VLOOKUP(A224,'HECVAT - Full'!A$24:B$312,2,FALSE)</f>
        <v>Can you share the organization chart, mission statement, and policies for your information security unit?</v>
      </c>
      <c r="C224" s="32" t="s">
        <v>1487</v>
      </c>
      <c r="D224" s="32" t="s">
        <v>1488</v>
      </c>
      <c r="E224" s="184"/>
      <c r="F224" s="181"/>
      <c r="G224" s="181"/>
      <c r="H224" s="181"/>
      <c r="I224" s="181"/>
      <c r="J224" s="181"/>
      <c r="K224" s="181"/>
      <c r="L224" s="181"/>
      <c r="M224" s="181"/>
      <c r="N224" s="181"/>
      <c r="O224" s="181"/>
      <c r="P224" s="181"/>
      <c r="Q224" s="181"/>
      <c r="R224" s="181"/>
      <c r="S224" s="181"/>
      <c r="T224" s="181"/>
      <c r="U224" s="181"/>
      <c r="V224" s="181"/>
      <c r="W224" s="181"/>
      <c r="X224" s="181"/>
      <c r="Y224" s="6"/>
      <c r="Z224" s="6"/>
    </row>
    <row r="225" ht="85.5" customHeight="1">
      <c r="A225" s="51" t="str">
        <f>'HECVAT - Full'!A225</f>
        <v>PPPR-02</v>
      </c>
      <c r="B225" s="62" t="str">
        <f>VLOOKUP(A225,'HECVAT - Full'!A$24:B$312,2,FALSE)</f>
        <v>Do you have a documented patch management process?</v>
      </c>
      <c r="C225" s="32" t="s">
        <v>1489</v>
      </c>
      <c r="D225" s="32" t="s">
        <v>1490</v>
      </c>
      <c r="E225" s="184"/>
      <c r="F225" s="181"/>
      <c r="G225" s="181"/>
      <c r="H225" s="181"/>
      <c r="I225" s="181"/>
      <c r="J225" s="181"/>
      <c r="K225" s="181"/>
      <c r="L225" s="181"/>
      <c r="M225" s="181"/>
      <c r="N225" s="181"/>
      <c r="O225" s="181"/>
      <c r="P225" s="181"/>
      <c r="Q225" s="181"/>
      <c r="R225" s="181"/>
      <c r="S225" s="181"/>
      <c r="T225" s="181"/>
      <c r="U225" s="181"/>
      <c r="V225" s="181"/>
      <c r="W225" s="181"/>
      <c r="X225" s="181"/>
      <c r="Y225" s="6"/>
      <c r="Z225" s="6"/>
    </row>
    <row r="226" ht="85.5" customHeight="1">
      <c r="A226" s="51" t="str">
        <f>'HECVAT - Full'!A226</f>
        <v>PPPR-03</v>
      </c>
      <c r="B226" s="62" t="str">
        <f>VLOOKUP(A226,'HECVAT - Full'!A$24:B$312,2,FALSE)</f>
        <v>Can you accommodate encryption requirements using open standards?</v>
      </c>
      <c r="C226" s="32" t="s">
        <v>1363</v>
      </c>
      <c r="D226" s="32" t="s">
        <v>1364</v>
      </c>
      <c r="E226" s="184"/>
      <c r="F226" s="181"/>
      <c r="G226" s="181"/>
      <c r="H226" s="181"/>
      <c r="I226" s="181"/>
      <c r="J226" s="181"/>
      <c r="K226" s="181"/>
      <c r="L226" s="181"/>
      <c r="M226" s="181"/>
      <c r="N226" s="181"/>
      <c r="O226" s="181"/>
      <c r="P226" s="181"/>
      <c r="Q226" s="181"/>
      <c r="R226" s="181"/>
      <c r="S226" s="181"/>
      <c r="T226" s="181"/>
      <c r="U226" s="181"/>
      <c r="V226" s="181"/>
      <c r="W226" s="181"/>
      <c r="X226" s="181"/>
      <c r="Y226" s="6"/>
      <c r="Z226" s="6"/>
    </row>
    <row r="227" ht="84.75" customHeight="1">
      <c r="A227" s="51" t="str">
        <f>'HECVAT - Full'!A227</f>
        <v>PPPR-04</v>
      </c>
      <c r="B227" s="62" t="str">
        <f>VLOOKUP(A227,'HECVAT - Full'!A$24:B$312,2,FALSE)</f>
        <v>Have your developers been trained in secure coding techniques?</v>
      </c>
      <c r="C227" s="32" t="s">
        <v>1474</v>
      </c>
      <c r="D227" s="32" t="s">
        <v>1475</v>
      </c>
      <c r="E227" s="184"/>
      <c r="F227" s="181"/>
      <c r="G227" s="181"/>
      <c r="H227" s="181"/>
      <c r="I227" s="181"/>
      <c r="J227" s="181"/>
      <c r="K227" s="181"/>
      <c r="L227" s="181"/>
      <c r="M227" s="181"/>
      <c r="N227" s="181"/>
      <c r="O227" s="181"/>
      <c r="P227" s="181"/>
      <c r="Q227" s="181"/>
      <c r="R227" s="181"/>
      <c r="S227" s="181"/>
      <c r="T227" s="181"/>
      <c r="U227" s="181"/>
      <c r="V227" s="181"/>
      <c r="W227" s="181"/>
      <c r="X227" s="181"/>
      <c r="Y227" s="6"/>
      <c r="Z227" s="6"/>
    </row>
    <row r="228" ht="84.75" customHeight="1">
      <c r="A228" s="51" t="str">
        <f>'HECVAT - Full'!A228</f>
        <v>PPPR-05</v>
      </c>
      <c r="B228" s="62" t="str">
        <f>VLOOKUP(A228,'HECVAT - Full'!A$24:B$312,2,FALSE)</f>
        <v>Was your application developed using secure coding techniques?</v>
      </c>
      <c r="C228" s="32" t="s">
        <v>1474</v>
      </c>
      <c r="D228" s="32" t="s">
        <v>1475</v>
      </c>
      <c r="E228" s="184"/>
      <c r="F228" s="181"/>
      <c r="G228" s="181"/>
      <c r="H228" s="181"/>
      <c r="I228" s="181"/>
      <c r="J228" s="181"/>
      <c r="K228" s="181"/>
      <c r="L228" s="181"/>
      <c r="M228" s="181"/>
      <c r="N228" s="181"/>
      <c r="O228" s="181"/>
      <c r="P228" s="181"/>
      <c r="Q228" s="181"/>
      <c r="R228" s="181"/>
      <c r="S228" s="181"/>
      <c r="T228" s="181"/>
      <c r="U228" s="181"/>
      <c r="V228" s="181"/>
      <c r="W228" s="181"/>
      <c r="X228" s="181"/>
      <c r="Y228" s="6"/>
      <c r="Z228" s="6"/>
    </row>
    <row r="229" ht="120.75" customHeight="1">
      <c r="A229" s="51" t="str">
        <f>'HECVAT - Full'!A229</f>
        <v>PPPR-06</v>
      </c>
      <c r="B229" s="62" t="str">
        <f>VLOOKUP(A229,'HECVAT - Full'!A$24:B$312,2,FALSE)</f>
        <v>Do you subject your code to static code analysis and/or static application security testing prior to release?</v>
      </c>
      <c r="C229" s="32" t="s">
        <v>1491</v>
      </c>
      <c r="D229" s="32" t="s">
        <v>1492</v>
      </c>
      <c r="E229" s="184"/>
      <c r="F229" s="181"/>
      <c r="G229" s="181"/>
      <c r="H229" s="181"/>
      <c r="I229" s="181"/>
      <c r="J229" s="181"/>
      <c r="K229" s="181"/>
      <c r="L229" s="181"/>
      <c r="M229" s="181"/>
      <c r="N229" s="181"/>
      <c r="O229" s="181"/>
      <c r="P229" s="181"/>
      <c r="Q229" s="181"/>
      <c r="R229" s="181"/>
      <c r="S229" s="181"/>
      <c r="T229" s="181"/>
      <c r="U229" s="181"/>
      <c r="V229" s="181"/>
      <c r="W229" s="181"/>
      <c r="X229" s="181"/>
      <c r="Y229" s="6"/>
      <c r="Z229" s="6"/>
    </row>
    <row r="230" ht="84.0" customHeight="1">
      <c r="A230" s="51" t="str">
        <f>'HECVAT - Full'!A230</f>
        <v>PPPR-07</v>
      </c>
      <c r="B230" s="62" t="str">
        <f>VLOOKUP(A230,'HECVAT - Full'!A$24:B$312,2,FALSE)</f>
        <v>Do you have software testing processes (dynamic or static) that are established and followed?</v>
      </c>
      <c r="C230" s="32" t="s">
        <v>1493</v>
      </c>
      <c r="D230" s="32" t="s">
        <v>1494</v>
      </c>
      <c r="E230" s="184"/>
      <c r="F230" s="181"/>
      <c r="G230" s="181"/>
      <c r="H230" s="181"/>
      <c r="I230" s="181"/>
      <c r="J230" s="181"/>
      <c r="K230" s="181"/>
      <c r="L230" s="181"/>
      <c r="M230" s="181"/>
      <c r="N230" s="181"/>
      <c r="O230" s="181"/>
      <c r="P230" s="181"/>
      <c r="Q230" s="181"/>
      <c r="R230" s="181"/>
      <c r="S230" s="181"/>
      <c r="T230" s="181"/>
      <c r="U230" s="181"/>
      <c r="V230" s="181"/>
      <c r="W230" s="181"/>
      <c r="X230" s="181"/>
      <c r="Y230" s="6"/>
      <c r="Z230" s="6"/>
    </row>
    <row r="231" ht="84.0" customHeight="1">
      <c r="A231" s="51" t="str">
        <f>'HECVAT - Full'!A231</f>
        <v>PPPR-08</v>
      </c>
      <c r="B231" s="62" t="str">
        <f>VLOOKUP(A231,'HECVAT - Full'!A$24:B$312,2,FALSE)</f>
        <v>Are information security principles designed into the product lifecycle?</v>
      </c>
      <c r="C231" s="32" t="s">
        <v>1474</v>
      </c>
      <c r="D231" s="32" t="s">
        <v>1475</v>
      </c>
      <c r="E231" s="184"/>
      <c r="F231" s="181"/>
      <c r="G231" s="181"/>
      <c r="H231" s="181"/>
      <c r="I231" s="181"/>
      <c r="J231" s="181"/>
      <c r="K231" s="181"/>
      <c r="L231" s="181"/>
      <c r="M231" s="181"/>
      <c r="N231" s="181"/>
      <c r="O231" s="181"/>
      <c r="P231" s="181"/>
      <c r="Q231" s="181"/>
      <c r="R231" s="181"/>
      <c r="S231" s="181"/>
      <c r="T231" s="181"/>
      <c r="U231" s="181"/>
      <c r="V231" s="181"/>
      <c r="W231" s="181"/>
      <c r="X231" s="181"/>
      <c r="Y231" s="6"/>
      <c r="Z231" s="6"/>
    </row>
    <row r="232" ht="96.0" customHeight="1">
      <c r="A232" s="51" t="str">
        <f>'HECVAT - Full'!A232</f>
        <v>PPPR-09</v>
      </c>
      <c r="B232" s="62" t="str">
        <f>VLOOKUP(A232,'HECVAT - Full'!A$24:B$312,2,FALSE)</f>
        <v>Do you have a documented systems development life cycle (SDLC)?</v>
      </c>
      <c r="C232" s="32" t="s">
        <v>1495</v>
      </c>
      <c r="D232" s="32" t="s">
        <v>1496</v>
      </c>
      <c r="E232" s="184"/>
      <c r="F232" s="181"/>
      <c r="G232" s="181"/>
      <c r="H232" s="181"/>
      <c r="I232" s="181"/>
      <c r="J232" s="181"/>
      <c r="K232" s="181"/>
      <c r="L232" s="181"/>
      <c r="M232" s="181"/>
      <c r="N232" s="181"/>
      <c r="O232" s="181"/>
      <c r="P232" s="181"/>
      <c r="Q232" s="181"/>
      <c r="R232" s="181"/>
      <c r="S232" s="181"/>
      <c r="T232" s="181"/>
      <c r="U232" s="181"/>
      <c r="V232" s="181"/>
      <c r="W232" s="181"/>
      <c r="X232" s="181"/>
      <c r="Y232" s="6"/>
      <c r="Z232" s="6"/>
    </row>
    <row r="233" ht="128.25" customHeight="1">
      <c r="A233" s="51" t="str">
        <f>'HECVAT - Full'!A233</f>
        <v>PPPR-10</v>
      </c>
      <c r="B233" s="62" t="str">
        <f>VLOOKUP(A233,'HECVAT - Full'!A$24:B$312,2,FALSE)</f>
        <v>Do you have a formal incident response plan?</v>
      </c>
      <c r="C233" s="32" t="s">
        <v>1497</v>
      </c>
      <c r="D233" s="32" t="s">
        <v>1498</v>
      </c>
      <c r="E233" s="184"/>
      <c r="F233" s="181"/>
      <c r="G233" s="181"/>
      <c r="H233" s="181"/>
      <c r="I233" s="181"/>
      <c r="J233" s="181"/>
      <c r="K233" s="181"/>
      <c r="L233" s="181"/>
      <c r="M233" s="181"/>
      <c r="N233" s="181"/>
      <c r="O233" s="181"/>
      <c r="P233" s="181"/>
      <c r="Q233" s="181"/>
      <c r="R233" s="181"/>
      <c r="S233" s="181"/>
      <c r="T233" s="181"/>
      <c r="U233" s="181"/>
      <c r="V233" s="181"/>
      <c r="W233" s="181"/>
      <c r="X233" s="181"/>
      <c r="Y233" s="6"/>
      <c r="Z233" s="6"/>
    </row>
    <row r="234" ht="63.75" customHeight="1">
      <c r="A234" s="51" t="str">
        <f>'HECVAT - Full'!A234</f>
        <v>PPPR-11</v>
      </c>
      <c r="B234" s="62" t="str">
        <f>VLOOKUP(A234,'HECVAT - Full'!A$24:B$312,2,FALSE)</f>
        <v>Will you comply with applicable breach notification laws?</v>
      </c>
      <c r="C234" s="32" t="s">
        <v>1499</v>
      </c>
      <c r="D234" s="32" t="s">
        <v>1500</v>
      </c>
      <c r="E234" s="184"/>
      <c r="F234" s="181"/>
      <c r="G234" s="181"/>
      <c r="H234" s="181"/>
      <c r="I234" s="181"/>
      <c r="J234" s="181"/>
      <c r="K234" s="181"/>
      <c r="L234" s="181"/>
      <c r="M234" s="181"/>
      <c r="N234" s="181"/>
      <c r="O234" s="181"/>
      <c r="P234" s="181"/>
      <c r="Q234" s="181"/>
      <c r="R234" s="181"/>
      <c r="S234" s="181"/>
      <c r="T234" s="181"/>
      <c r="U234" s="181"/>
      <c r="V234" s="181"/>
      <c r="W234" s="181"/>
      <c r="X234" s="181"/>
      <c r="Y234" s="6"/>
      <c r="Z234" s="6"/>
    </row>
    <row r="235" ht="63.75" customHeight="1">
      <c r="A235" s="51" t="str">
        <f>'HECVAT - Full'!A235</f>
        <v>PPPR-12</v>
      </c>
      <c r="B235" s="62" t="str">
        <f>VLOOKUP(A235,'HECVAT - Full'!A$24:B$312,2,FALSE)</f>
        <v>Will you comply with the Institution's IT policies with regards to user privacy and data protection?</v>
      </c>
      <c r="C235" s="32" t="s">
        <v>1501</v>
      </c>
      <c r="D235" s="32" t="s">
        <v>1502</v>
      </c>
      <c r="E235" s="184"/>
      <c r="F235" s="181"/>
      <c r="G235" s="181"/>
      <c r="H235" s="181"/>
      <c r="I235" s="181"/>
      <c r="J235" s="181"/>
      <c r="K235" s="181"/>
      <c r="L235" s="181"/>
      <c r="M235" s="181"/>
      <c r="N235" s="181"/>
      <c r="O235" s="181"/>
      <c r="P235" s="181"/>
      <c r="Q235" s="181"/>
      <c r="R235" s="181"/>
      <c r="S235" s="181"/>
      <c r="T235" s="181"/>
      <c r="U235" s="181"/>
      <c r="V235" s="181"/>
      <c r="W235" s="181"/>
      <c r="X235" s="181"/>
      <c r="Y235" s="6"/>
      <c r="Z235" s="6"/>
    </row>
    <row r="236" ht="63.0" customHeight="1">
      <c r="A236" s="51" t="str">
        <f>'HECVAT - Full'!A236</f>
        <v>PPPR-13</v>
      </c>
      <c r="B236" s="62" t="str">
        <f>VLOOKUP(A236,'HECVAT - Full'!A$24:B$312,2,FALSE)</f>
        <v>Is your company subject to Institution's Data Zone laws and regulations?</v>
      </c>
      <c r="C236" s="32" t="s">
        <v>1499</v>
      </c>
      <c r="D236" s="32" t="s">
        <v>1500</v>
      </c>
      <c r="E236" s="184"/>
      <c r="F236" s="181"/>
      <c r="G236" s="181"/>
      <c r="H236" s="181"/>
      <c r="I236" s="181"/>
      <c r="J236" s="181"/>
      <c r="K236" s="181"/>
      <c r="L236" s="181"/>
      <c r="M236" s="181"/>
      <c r="N236" s="181"/>
      <c r="O236" s="181"/>
      <c r="P236" s="181"/>
      <c r="Q236" s="181"/>
      <c r="R236" s="181"/>
      <c r="S236" s="181"/>
      <c r="T236" s="181"/>
      <c r="U236" s="181"/>
      <c r="V236" s="181"/>
      <c r="W236" s="181"/>
      <c r="X236" s="181"/>
      <c r="Y236" s="6"/>
      <c r="Z236" s="6"/>
    </row>
    <row r="237" ht="90.0" customHeight="1">
      <c r="A237" s="51" t="str">
        <f>'HECVAT - Full'!A237</f>
        <v>PPPR-14</v>
      </c>
      <c r="B237" s="62" t="str">
        <f>VLOOKUP(A237,'HECVAT - Full'!A$24:B$312,2,FALSE)</f>
        <v>Do you perform background screenings or multi-state background checks on all employees prior to their first day of work?</v>
      </c>
      <c r="C237" s="32" t="s">
        <v>1503</v>
      </c>
      <c r="D237" s="32" t="s">
        <v>1504</v>
      </c>
      <c r="E237" s="184"/>
      <c r="F237" s="181"/>
      <c r="G237" s="181"/>
      <c r="H237" s="181"/>
      <c r="I237" s="181"/>
      <c r="J237" s="181"/>
      <c r="K237" s="181"/>
      <c r="L237" s="181"/>
      <c r="M237" s="181"/>
      <c r="N237" s="181"/>
      <c r="O237" s="181"/>
      <c r="P237" s="181"/>
      <c r="Q237" s="181"/>
      <c r="R237" s="181"/>
      <c r="S237" s="181"/>
      <c r="T237" s="181"/>
      <c r="U237" s="181"/>
      <c r="V237" s="181"/>
      <c r="W237" s="181"/>
      <c r="X237" s="181"/>
      <c r="Y237" s="6"/>
      <c r="Z237" s="6"/>
    </row>
    <row r="238" ht="71.25" customHeight="1">
      <c r="A238" s="51" t="str">
        <f>'HECVAT - Full'!A238</f>
        <v>PPPR-15</v>
      </c>
      <c r="B238" s="62" t="str">
        <f>VLOOKUP(A238,'HECVAT - Full'!A$24:B$312,2,FALSE)</f>
        <v>Do you require new employees to fill out agreements and review policies?  </v>
      </c>
      <c r="C238" s="32" t="s">
        <v>1505</v>
      </c>
      <c r="D238" s="32" t="s">
        <v>1506</v>
      </c>
      <c r="E238" s="184"/>
      <c r="F238" s="181"/>
      <c r="G238" s="181"/>
      <c r="H238" s="181"/>
      <c r="I238" s="181"/>
      <c r="J238" s="181"/>
      <c r="K238" s="181"/>
      <c r="L238" s="181"/>
      <c r="M238" s="181"/>
      <c r="N238" s="181"/>
      <c r="O238" s="181"/>
      <c r="P238" s="181"/>
      <c r="Q238" s="181"/>
      <c r="R238" s="181"/>
      <c r="S238" s="181"/>
      <c r="T238" s="181"/>
      <c r="U238" s="181"/>
      <c r="V238" s="181"/>
      <c r="W238" s="181"/>
      <c r="X238" s="181"/>
      <c r="Y238" s="6"/>
      <c r="Z238" s="6"/>
    </row>
    <row r="239" ht="99.75" customHeight="1">
      <c r="A239" s="51" t="str">
        <f>'HECVAT - Full'!A239</f>
        <v>PPPR-16</v>
      </c>
      <c r="B239" s="62" t="str">
        <f>VLOOKUP(A239,'HECVAT - Full'!A$24:B$312,2,FALSE)</f>
        <v>Do you have documented information security policy?</v>
      </c>
      <c r="C239" s="32" t="s">
        <v>1507</v>
      </c>
      <c r="D239" s="32" t="s">
        <v>1508</v>
      </c>
      <c r="E239" s="184"/>
      <c r="F239" s="181"/>
      <c r="G239" s="181"/>
      <c r="H239" s="181"/>
      <c r="I239" s="181"/>
      <c r="J239" s="181"/>
      <c r="K239" s="181"/>
      <c r="L239" s="181"/>
      <c r="M239" s="181"/>
      <c r="N239" s="181"/>
      <c r="O239" s="181"/>
      <c r="P239" s="181"/>
      <c r="Q239" s="181"/>
      <c r="R239" s="181"/>
      <c r="S239" s="181"/>
      <c r="T239" s="181"/>
      <c r="U239" s="181"/>
      <c r="V239" s="181"/>
      <c r="W239" s="181"/>
      <c r="X239" s="181"/>
      <c r="Y239" s="6"/>
      <c r="Z239" s="6"/>
    </row>
    <row r="240" ht="85.5" customHeight="1">
      <c r="A240" s="51" t="str">
        <f>'HECVAT - Full'!A240</f>
        <v>PPPR-17</v>
      </c>
      <c r="B240" s="62" t="str">
        <f>VLOOKUP(A240,'HECVAT - Full'!A$24:B$312,2,FALSE)</f>
        <v>Do you have an information security awareness program?</v>
      </c>
      <c r="C240" s="32" t="s">
        <v>1509</v>
      </c>
      <c r="D240" s="32" t="s">
        <v>1510</v>
      </c>
      <c r="E240" s="184"/>
      <c r="F240" s="181"/>
      <c r="G240" s="181"/>
      <c r="H240" s="181"/>
      <c r="I240" s="181"/>
      <c r="J240" s="181"/>
      <c r="K240" s="181"/>
      <c r="L240" s="181"/>
      <c r="M240" s="181"/>
      <c r="N240" s="181"/>
      <c r="O240" s="181"/>
      <c r="P240" s="181"/>
      <c r="Q240" s="181"/>
      <c r="R240" s="181"/>
      <c r="S240" s="181"/>
      <c r="T240" s="181"/>
      <c r="U240" s="181"/>
      <c r="V240" s="181"/>
      <c r="W240" s="181"/>
      <c r="X240" s="181"/>
      <c r="Y240" s="6"/>
      <c r="Z240" s="6"/>
    </row>
    <row r="241" ht="85.5" customHeight="1">
      <c r="A241" s="51" t="str">
        <f>'HECVAT - Full'!A241</f>
        <v>PPPR-18</v>
      </c>
      <c r="B241" s="62" t="str">
        <f>VLOOKUP(A241,'HECVAT - Full'!A$24:B$312,2,FALSE)</f>
        <v>Is security awareness training mandatory for all employees?</v>
      </c>
      <c r="C241" s="32" t="s">
        <v>1509</v>
      </c>
      <c r="D241" s="32" t="s">
        <v>1510</v>
      </c>
      <c r="E241" s="184"/>
      <c r="F241" s="181"/>
      <c r="G241" s="181"/>
      <c r="H241" s="181"/>
      <c r="I241" s="181"/>
      <c r="J241" s="181"/>
      <c r="K241" s="181"/>
      <c r="L241" s="181"/>
      <c r="M241" s="181"/>
      <c r="N241" s="181"/>
      <c r="O241" s="181"/>
      <c r="P241" s="181"/>
      <c r="Q241" s="181"/>
      <c r="R241" s="181"/>
      <c r="S241" s="181"/>
      <c r="T241" s="181"/>
      <c r="U241" s="181"/>
      <c r="V241" s="181"/>
      <c r="W241" s="181"/>
      <c r="X241" s="181"/>
      <c r="Y241" s="6"/>
      <c r="Z241" s="6"/>
    </row>
    <row r="242" ht="99.75" customHeight="1">
      <c r="A242" s="51" t="str">
        <f>'HECVAT - Full'!A242</f>
        <v>PPPR-19</v>
      </c>
      <c r="B242" s="62" t="str">
        <f>VLOOKUP(A242,'HECVAT - Full'!A$24:B$312,2,FALSE)</f>
        <v>Do you have process and procedure(s) documented, and currently followed, that require a review and update of the access-list(s) for privileged accounts?</v>
      </c>
      <c r="C242" s="32" t="s">
        <v>1277</v>
      </c>
      <c r="D242" s="32" t="s">
        <v>1278</v>
      </c>
      <c r="E242" s="184"/>
      <c r="F242" s="181"/>
      <c r="G242" s="181"/>
      <c r="H242" s="181"/>
      <c r="I242" s="181"/>
      <c r="J242" s="181"/>
      <c r="K242" s="181"/>
      <c r="L242" s="181"/>
      <c r="M242" s="181"/>
      <c r="N242" s="181"/>
      <c r="O242" s="181"/>
      <c r="P242" s="181"/>
      <c r="Q242" s="181"/>
      <c r="R242" s="181"/>
      <c r="S242" s="181"/>
      <c r="T242" s="181"/>
      <c r="U242" s="181"/>
      <c r="V242" s="181"/>
      <c r="W242" s="181"/>
      <c r="X242" s="181"/>
      <c r="Y242" s="6"/>
      <c r="Z242" s="6"/>
    </row>
    <row r="243" ht="63.75" customHeight="1">
      <c r="A243" s="51" t="str">
        <f>'HECVAT - Full'!A243</f>
        <v>PPPR-20</v>
      </c>
      <c r="B243" s="62" t="str">
        <f>VLOOKUP(A243,'HECVAT - Full'!A$24:B$312,2,FALSE)</f>
        <v>Do you have documented, and currently implemented, internal audit processes and procedures?</v>
      </c>
      <c r="C243" s="32" t="s">
        <v>1511</v>
      </c>
      <c r="D243" s="32" t="s">
        <v>1512</v>
      </c>
      <c r="E243" s="184"/>
      <c r="F243" s="181"/>
      <c r="G243" s="181"/>
      <c r="H243" s="181"/>
      <c r="I243" s="181"/>
      <c r="J243" s="181"/>
      <c r="K243" s="181"/>
      <c r="L243" s="181"/>
      <c r="M243" s="181"/>
      <c r="N243" s="181"/>
      <c r="O243" s="181"/>
      <c r="P243" s="181"/>
      <c r="Q243" s="181"/>
      <c r="R243" s="181"/>
      <c r="S243" s="181"/>
      <c r="T243" s="181"/>
      <c r="U243" s="181"/>
      <c r="V243" s="181"/>
      <c r="W243" s="181"/>
      <c r="X243" s="181"/>
      <c r="Y243" s="6"/>
      <c r="Z243" s="6"/>
    </row>
    <row r="244" ht="36.0" customHeight="1">
      <c r="A244" s="45" t="str">
        <f>IF($C$30="","Product Evaluation",IF($C$30="Yes","Product Evaluation - Optional based on QUALIFIER response.","Product Evaluation"))</f>
        <v>Product Evaluation</v>
      </c>
      <c r="B244" s="14"/>
      <c r="C244" s="60" t="str">
        <f>$C$22</f>
        <v>Reason for Question</v>
      </c>
      <c r="D244" s="60" t="str">
        <f>$D$22</f>
        <v>Follow-up Inquiries/Responses</v>
      </c>
      <c r="E244" s="184"/>
      <c r="F244" s="181"/>
      <c r="G244" s="181"/>
      <c r="H244" s="181"/>
      <c r="I244" s="181"/>
      <c r="J244" s="181"/>
      <c r="K244" s="181"/>
      <c r="L244" s="181"/>
      <c r="M244" s="181"/>
      <c r="N244" s="181"/>
      <c r="O244" s="181"/>
      <c r="P244" s="181"/>
      <c r="Q244" s="181"/>
      <c r="R244" s="181"/>
      <c r="S244" s="181"/>
      <c r="T244" s="181"/>
      <c r="U244" s="181"/>
      <c r="V244" s="181"/>
      <c r="W244" s="181"/>
      <c r="X244" s="181"/>
      <c r="Y244" s="6"/>
      <c r="Z244" s="6"/>
    </row>
    <row r="245" ht="102.0" customHeight="1">
      <c r="A245" s="51" t="str">
        <f>'HECVAT - Full'!A245</f>
        <v>PROD-01</v>
      </c>
      <c r="B245" s="62" t="str">
        <f>VLOOKUP(A245,'HECVAT - Full'!A$24:B$312,2,FALSE)</f>
        <v>Do you incorporate customer feedback into security feature requests?</v>
      </c>
      <c r="C245" s="32" t="s">
        <v>1513</v>
      </c>
      <c r="D245" s="32" t="s">
        <v>1514</v>
      </c>
      <c r="E245" s="184"/>
      <c r="F245" s="181"/>
      <c r="G245" s="181"/>
      <c r="H245" s="181"/>
      <c r="I245" s="181"/>
      <c r="J245" s="181"/>
      <c r="K245" s="181"/>
      <c r="L245" s="181"/>
      <c r="M245" s="181"/>
      <c r="N245" s="181"/>
      <c r="O245" s="181"/>
      <c r="P245" s="181"/>
      <c r="Q245" s="181"/>
      <c r="R245" s="181"/>
      <c r="S245" s="181"/>
      <c r="T245" s="181"/>
      <c r="U245" s="181"/>
      <c r="V245" s="181"/>
      <c r="W245" s="181"/>
      <c r="X245" s="181"/>
      <c r="Y245" s="6"/>
      <c r="Z245" s="6"/>
    </row>
    <row r="246" ht="64.5" customHeight="1">
      <c r="A246" s="51" t="str">
        <f>'HECVAT - Full'!A246</f>
        <v>PROD-02</v>
      </c>
      <c r="B246" s="62" t="str">
        <f>VLOOKUP(A246,'HECVAT - Full'!A$24:B$312,2,FALSE)</f>
        <v>Can you provide an evaluation site to the institution for testing?</v>
      </c>
      <c r="C246" s="32" t="s">
        <v>1515</v>
      </c>
      <c r="D246" s="32" t="s">
        <v>1516</v>
      </c>
      <c r="E246" s="184"/>
      <c r="F246" s="181"/>
      <c r="G246" s="181"/>
      <c r="H246" s="181"/>
      <c r="I246" s="181"/>
      <c r="J246" s="181"/>
      <c r="K246" s="181"/>
      <c r="L246" s="181"/>
      <c r="M246" s="181"/>
      <c r="N246" s="181"/>
      <c r="O246" s="181"/>
      <c r="P246" s="181"/>
      <c r="Q246" s="181"/>
      <c r="R246" s="181"/>
      <c r="S246" s="181"/>
      <c r="T246" s="181"/>
      <c r="U246" s="181"/>
      <c r="V246" s="181"/>
      <c r="W246" s="181"/>
      <c r="X246" s="181"/>
      <c r="Y246" s="6"/>
      <c r="Z246" s="6"/>
    </row>
    <row r="247" ht="36.0" customHeight="1">
      <c r="A247" s="45" t="str">
        <f>IF($C$30="","Quality Assurance",IF($C$30="Yes","Quality Assurance - Optional based on QUALIFIER response.","Quality Assurance"))</f>
        <v>Quality Assurance</v>
      </c>
      <c r="B247" s="14"/>
      <c r="C247" s="60" t="str">
        <f>$C$22</f>
        <v>Reason for Question</v>
      </c>
      <c r="D247" s="60" t="str">
        <f>$D$22</f>
        <v>Follow-up Inquiries/Responses</v>
      </c>
      <c r="E247" s="184"/>
      <c r="F247" s="181"/>
      <c r="G247" s="181"/>
      <c r="H247" s="181"/>
      <c r="I247" s="181"/>
      <c r="J247" s="181"/>
      <c r="K247" s="181"/>
      <c r="L247" s="181"/>
      <c r="M247" s="181"/>
      <c r="N247" s="181"/>
      <c r="O247" s="181"/>
      <c r="P247" s="181"/>
      <c r="Q247" s="181"/>
      <c r="R247" s="181"/>
      <c r="S247" s="181"/>
      <c r="T247" s="181"/>
      <c r="U247" s="181"/>
      <c r="V247" s="181"/>
      <c r="W247" s="181"/>
      <c r="X247" s="181"/>
      <c r="Y247" s="6"/>
      <c r="Z247" s="6"/>
    </row>
    <row r="248" ht="72.0" customHeight="1">
      <c r="A248" s="51" t="str">
        <f>'HECVAT - Full'!A248</f>
        <v>QLAS-01</v>
      </c>
      <c r="B248" s="62" t="str">
        <f>VLOOKUP(A248,'HECVAT - Full'!A$24:B$312,2,FALSE)</f>
        <v>Provide a general summary of your Quality Assurance program.</v>
      </c>
      <c r="C248" s="32" t="s">
        <v>1517</v>
      </c>
      <c r="D248" s="32" t="s">
        <v>1518</v>
      </c>
      <c r="E248" s="184"/>
      <c r="F248" s="181"/>
      <c r="G248" s="181"/>
      <c r="H248" s="181"/>
      <c r="I248" s="181"/>
      <c r="J248" s="181"/>
      <c r="K248" s="181"/>
      <c r="L248" s="181"/>
      <c r="M248" s="181"/>
      <c r="N248" s="181"/>
      <c r="O248" s="181"/>
      <c r="P248" s="181"/>
      <c r="Q248" s="181"/>
      <c r="R248" s="181"/>
      <c r="S248" s="181"/>
      <c r="T248" s="181"/>
      <c r="U248" s="181"/>
      <c r="V248" s="181"/>
      <c r="W248" s="181"/>
      <c r="X248" s="181"/>
      <c r="Y248" s="6"/>
      <c r="Z248" s="6"/>
    </row>
    <row r="249" ht="48.0" customHeight="1">
      <c r="A249" s="51" t="str">
        <f>'HECVAT - Full'!A249</f>
        <v>QLAS-02</v>
      </c>
      <c r="B249" s="62" t="str">
        <f>VLOOKUP(A249,'HECVAT - Full'!A$24:B$312,2,FALSE)</f>
        <v>Do you comply with ISO 9001?</v>
      </c>
      <c r="C249" s="32" t="s">
        <v>1519</v>
      </c>
      <c r="D249" s="63" t="s">
        <v>1520</v>
      </c>
      <c r="E249" s="184"/>
      <c r="F249" s="181"/>
      <c r="G249" s="181"/>
      <c r="H249" s="181"/>
      <c r="I249" s="181"/>
      <c r="J249" s="181"/>
      <c r="K249" s="181"/>
      <c r="L249" s="181"/>
      <c r="M249" s="181"/>
      <c r="N249" s="181"/>
      <c r="O249" s="181"/>
      <c r="P249" s="181"/>
      <c r="Q249" s="181"/>
      <c r="R249" s="181"/>
      <c r="S249" s="181"/>
      <c r="T249" s="181"/>
      <c r="U249" s="181"/>
      <c r="V249" s="181"/>
      <c r="W249" s="181"/>
      <c r="X249" s="181"/>
      <c r="Y249" s="6"/>
      <c r="Z249" s="6"/>
    </row>
    <row r="250" ht="84.0" customHeight="1">
      <c r="A250" s="51" t="str">
        <f>'HECVAT - Full'!A250</f>
        <v>QLAS-03</v>
      </c>
      <c r="B250" s="62" t="str">
        <f>VLOOKUP(A250,'HECVAT - Full'!A$24:B$312,2,FALSE)</f>
        <v>Will your company provide quality and performance metrics in relation to the scope of services and performance expectations for the services you are offering?</v>
      </c>
      <c r="C250" s="32" t="s">
        <v>1521</v>
      </c>
      <c r="D250" s="63" t="s">
        <v>1522</v>
      </c>
      <c r="E250" s="184"/>
      <c r="F250" s="181"/>
      <c r="G250" s="181"/>
      <c r="H250" s="181"/>
      <c r="I250" s="181"/>
      <c r="J250" s="181"/>
      <c r="K250" s="181"/>
      <c r="L250" s="181"/>
      <c r="M250" s="181"/>
      <c r="N250" s="181"/>
      <c r="O250" s="181"/>
      <c r="P250" s="181"/>
      <c r="Q250" s="181"/>
      <c r="R250" s="181"/>
      <c r="S250" s="181"/>
      <c r="T250" s="181"/>
      <c r="U250" s="181"/>
      <c r="V250" s="181"/>
      <c r="W250" s="181"/>
      <c r="X250" s="181"/>
      <c r="Y250" s="6"/>
      <c r="Z250" s="6"/>
    </row>
    <row r="251" ht="96.0" customHeight="1">
      <c r="A251" s="51" t="str">
        <f>'HECVAT - Full'!A251</f>
        <v>QLAS-04</v>
      </c>
      <c r="B251" s="62" t="str">
        <f>VLOOKUP(A251,'HECVAT - Full'!A$24:B$312,2,FALSE)</f>
        <v>Have you supplied products and/or services to the Institution (or its Campuses) in the last five years?</v>
      </c>
      <c r="C251" s="32" t="s">
        <v>1523</v>
      </c>
      <c r="D251" s="63" t="s">
        <v>1524</v>
      </c>
      <c r="E251" s="184"/>
      <c r="F251" s="181"/>
      <c r="G251" s="181"/>
      <c r="H251" s="181"/>
      <c r="I251" s="181"/>
      <c r="J251" s="181"/>
      <c r="K251" s="181"/>
      <c r="L251" s="181"/>
      <c r="M251" s="181"/>
      <c r="N251" s="181"/>
      <c r="O251" s="181"/>
      <c r="P251" s="181"/>
      <c r="Q251" s="181"/>
      <c r="R251" s="181"/>
      <c r="S251" s="181"/>
      <c r="T251" s="181"/>
      <c r="U251" s="181"/>
      <c r="V251" s="181"/>
      <c r="W251" s="181"/>
      <c r="X251" s="181"/>
      <c r="Y251" s="6"/>
      <c r="Z251" s="6"/>
    </row>
    <row r="252" ht="48.0" customHeight="1">
      <c r="A252" s="51" t="str">
        <f>'HECVAT - Full'!A252</f>
        <v>QLAS-05</v>
      </c>
      <c r="B252" s="62" t="str">
        <f>VLOOKUP(A252,'HECVAT - Full'!A$24:B$312,2,FALSE)</f>
        <v>Do you have a program to keep your customers abreast of higher education and/or industry issues?</v>
      </c>
      <c r="C252" s="32" t="s">
        <v>1525</v>
      </c>
      <c r="D252" s="32" t="s">
        <v>1526</v>
      </c>
      <c r="E252" s="184"/>
      <c r="F252" s="181"/>
      <c r="G252" s="181"/>
      <c r="H252" s="181"/>
      <c r="I252" s="181"/>
      <c r="J252" s="181"/>
      <c r="K252" s="181"/>
      <c r="L252" s="181"/>
      <c r="M252" s="181"/>
      <c r="N252" s="181"/>
      <c r="O252" s="181"/>
      <c r="P252" s="181"/>
      <c r="Q252" s="181"/>
      <c r="R252" s="181"/>
      <c r="S252" s="181"/>
      <c r="T252" s="181"/>
      <c r="U252" s="181"/>
      <c r="V252" s="181"/>
      <c r="W252" s="181"/>
      <c r="X252" s="181"/>
      <c r="Y252" s="6"/>
      <c r="Z252" s="6"/>
    </row>
    <row r="253" ht="36.0" customHeight="1">
      <c r="A253" s="45" t="str">
        <f>IF($C$30="","Systems Management &amp; Configuration",IF($C$30="Yes","System Mgmt/Config - Optional based on QUALIFIER response.","Systems Management &amp; Configuration"))</f>
        <v>Systems Management &amp; Configuration</v>
      </c>
      <c r="B253" s="14"/>
      <c r="C253" s="60" t="str">
        <f>$C$22</f>
        <v>Reason for Question</v>
      </c>
      <c r="D253" s="60" t="str">
        <f>$D$22</f>
        <v>Follow-up Inquiries/Responses</v>
      </c>
      <c r="E253" s="184"/>
      <c r="F253" s="181"/>
      <c r="G253" s="181"/>
      <c r="H253" s="181"/>
      <c r="I253" s="181"/>
      <c r="J253" s="181"/>
      <c r="K253" s="181"/>
      <c r="L253" s="181"/>
      <c r="M253" s="181"/>
      <c r="N253" s="181"/>
      <c r="O253" s="181"/>
      <c r="P253" s="181"/>
      <c r="Q253" s="181"/>
      <c r="R253" s="181"/>
      <c r="S253" s="181"/>
      <c r="T253" s="181"/>
      <c r="U253" s="181"/>
      <c r="V253" s="181"/>
      <c r="W253" s="181"/>
      <c r="X253" s="181"/>
      <c r="Y253" s="6"/>
      <c r="Z253" s="6"/>
    </row>
    <row r="254" ht="123.75" customHeight="1">
      <c r="A254" s="51" t="str">
        <f>'HECVAT - Full'!A254</f>
        <v>SYST-01</v>
      </c>
      <c r="B254" s="62" t="str">
        <f>VLOOKUP(A254,'HECVAT - Full'!A$24:B$312,2,FALSE)</f>
        <v>Are systems that support this service managed via a separate management network?</v>
      </c>
      <c r="C254" s="32" t="s">
        <v>1527</v>
      </c>
      <c r="D254" s="32" t="s">
        <v>1528</v>
      </c>
      <c r="E254" s="184"/>
      <c r="F254" s="181"/>
      <c r="G254" s="181"/>
      <c r="H254" s="181"/>
      <c r="I254" s="181"/>
      <c r="J254" s="181"/>
      <c r="K254" s="181"/>
      <c r="L254" s="181"/>
      <c r="M254" s="181"/>
      <c r="N254" s="181"/>
      <c r="O254" s="181"/>
      <c r="P254" s="181"/>
      <c r="Q254" s="181"/>
      <c r="R254" s="181"/>
      <c r="S254" s="181"/>
      <c r="T254" s="181"/>
      <c r="U254" s="181"/>
      <c r="V254" s="181"/>
      <c r="W254" s="181"/>
      <c r="X254" s="181"/>
      <c r="Y254" s="6"/>
      <c r="Z254" s="6"/>
    </row>
    <row r="255" ht="118.5" customHeight="1">
      <c r="A255" s="51" t="str">
        <f>'HECVAT - Full'!A255</f>
        <v>SYST-02</v>
      </c>
      <c r="B255" s="62" t="str">
        <f>VLOOKUP(A255,'HECVAT - Full'!A$24:B$312,2,FALSE)</f>
        <v>Do you have an implemented system configuration management process? (e.g. secure "gold" images, etc.)</v>
      </c>
      <c r="C255" s="32" t="s">
        <v>1529</v>
      </c>
      <c r="D255" s="32" t="s">
        <v>1530</v>
      </c>
      <c r="E255" s="184"/>
      <c r="F255" s="181"/>
      <c r="G255" s="181"/>
      <c r="H255" s="181"/>
      <c r="I255" s="181"/>
      <c r="J255" s="181"/>
      <c r="K255" s="181"/>
      <c r="L255" s="181"/>
      <c r="M255" s="181"/>
      <c r="N255" s="181"/>
      <c r="O255" s="181"/>
      <c r="P255" s="181"/>
      <c r="Q255" s="181"/>
      <c r="R255" s="181"/>
      <c r="S255" s="181"/>
      <c r="T255" s="181"/>
      <c r="U255" s="181"/>
      <c r="V255" s="181"/>
      <c r="W255" s="181"/>
      <c r="X255" s="181"/>
      <c r="Y255" s="6"/>
      <c r="Z255" s="6"/>
    </row>
    <row r="256" ht="75.0" customHeight="1">
      <c r="A256" s="51" t="str">
        <f>'HECVAT - Full'!A256</f>
        <v>SYST-03</v>
      </c>
      <c r="B256" s="62" t="str">
        <f>VLOOKUP(A256,'HECVAT - Full'!A$24:B$312,2,FALSE)</f>
        <v>Are employee mobile devices managed by your company's Mobile Device Management (MDM) platform?</v>
      </c>
      <c r="C256" s="32" t="s">
        <v>1531</v>
      </c>
      <c r="D256" s="32" t="s">
        <v>1532</v>
      </c>
      <c r="E256" s="184"/>
      <c r="F256" s="181"/>
      <c r="G256" s="181"/>
      <c r="H256" s="181"/>
      <c r="I256" s="181"/>
      <c r="J256" s="181"/>
      <c r="K256" s="181"/>
      <c r="L256" s="181"/>
      <c r="M256" s="181"/>
      <c r="N256" s="181"/>
      <c r="O256" s="181"/>
      <c r="P256" s="181"/>
      <c r="Q256" s="181"/>
      <c r="R256" s="181"/>
      <c r="S256" s="181"/>
      <c r="T256" s="181"/>
      <c r="U256" s="181"/>
      <c r="V256" s="181"/>
      <c r="W256" s="181"/>
      <c r="X256" s="181"/>
      <c r="Y256" s="6"/>
      <c r="Z256" s="6"/>
    </row>
    <row r="257" ht="96.0" customHeight="1">
      <c r="A257" s="51" t="str">
        <f>'HECVAT - Full'!A257</f>
        <v>SYST-04</v>
      </c>
      <c r="B257" s="62" t="str">
        <f>VLOOKUP(A257,'HECVAT - Full'!A$24:B$312,2,FALSE)</f>
        <v>Do you have a systems management and configuration strategy that encompasses servers, appliances, and mobile devices (company and employee owned)?</v>
      </c>
      <c r="C257" s="32" t="s">
        <v>1533</v>
      </c>
      <c r="D257" s="32" t="s">
        <v>1534</v>
      </c>
      <c r="E257" s="184"/>
      <c r="F257" s="181"/>
      <c r="G257" s="181"/>
      <c r="H257" s="181"/>
      <c r="I257" s="181"/>
      <c r="J257" s="181"/>
      <c r="K257" s="181"/>
      <c r="L257" s="181"/>
      <c r="M257" s="181"/>
      <c r="N257" s="181"/>
      <c r="O257" s="181"/>
      <c r="P257" s="181"/>
      <c r="Q257" s="181"/>
      <c r="R257" s="181"/>
      <c r="S257" s="181"/>
      <c r="T257" s="181"/>
      <c r="U257" s="181"/>
      <c r="V257" s="181"/>
      <c r="W257" s="181"/>
      <c r="X257" s="181"/>
      <c r="Y257" s="6"/>
      <c r="Z257" s="6"/>
    </row>
    <row r="258" ht="36.0" customHeight="1">
      <c r="A258" s="45" t="str">
        <f>IF($C$30="","Vulnerability Scanning",IF($C$30="Yes","Vulnerability Scanning - Optional based on QUALIFIER response.","Vulnerability Scanning"))</f>
        <v>Vulnerability Scanning</v>
      </c>
      <c r="B258" s="14"/>
      <c r="C258" s="60" t="str">
        <f>$C$22</f>
        <v>Reason for Question</v>
      </c>
      <c r="D258" s="60" t="str">
        <f>$D$22</f>
        <v>Follow-up Inquiries/Responses</v>
      </c>
      <c r="E258" s="184"/>
      <c r="F258" s="181"/>
      <c r="G258" s="181"/>
      <c r="H258" s="181"/>
      <c r="I258" s="181"/>
      <c r="J258" s="181"/>
      <c r="K258" s="181"/>
      <c r="L258" s="181"/>
      <c r="M258" s="181"/>
      <c r="N258" s="181"/>
      <c r="O258" s="181"/>
      <c r="P258" s="181"/>
      <c r="Q258" s="181"/>
      <c r="R258" s="181"/>
      <c r="S258" s="181"/>
      <c r="T258" s="181"/>
      <c r="U258" s="181"/>
      <c r="V258" s="181"/>
      <c r="W258" s="181"/>
      <c r="X258" s="181"/>
      <c r="Y258" s="6"/>
      <c r="Z258" s="6"/>
    </row>
    <row r="259" ht="128.25" customHeight="1">
      <c r="A259" s="51" t="str">
        <f>'HECVAT - Full'!A259</f>
        <v>VULN-01</v>
      </c>
      <c r="B259" s="62" t="str">
        <f>VLOOKUP(A259,'HECVAT - Full'!A$24:B$312,2,FALSE)</f>
        <v>Are your applications scanned externally for vulnerabilities?</v>
      </c>
      <c r="C259" s="32" t="s">
        <v>1476</v>
      </c>
      <c r="D259" s="32" t="s">
        <v>1477</v>
      </c>
      <c r="E259" s="184"/>
      <c r="F259" s="181"/>
      <c r="G259" s="181"/>
      <c r="H259" s="181"/>
      <c r="I259" s="181"/>
      <c r="J259" s="181"/>
      <c r="K259" s="181"/>
      <c r="L259" s="181"/>
      <c r="M259" s="181"/>
      <c r="N259" s="181"/>
      <c r="O259" s="181"/>
      <c r="P259" s="181"/>
      <c r="Q259" s="181"/>
      <c r="R259" s="181"/>
      <c r="S259" s="181"/>
      <c r="T259" s="181"/>
      <c r="U259" s="181"/>
      <c r="V259" s="181"/>
      <c r="W259" s="181"/>
      <c r="X259" s="181"/>
      <c r="Y259" s="6"/>
      <c r="Z259" s="6"/>
    </row>
    <row r="260" ht="128.25" customHeight="1">
      <c r="A260" s="51" t="str">
        <f>'HECVAT - Full'!A260</f>
        <v>VULN-02</v>
      </c>
      <c r="B260" s="62" t="str">
        <f>VLOOKUP(A260,'HECVAT - Full'!A$24:B$312,2,FALSE)</f>
        <v>Have your applications had an external vulnerability assessment in the last year?</v>
      </c>
      <c r="C260" s="32" t="s">
        <v>1476</v>
      </c>
      <c r="D260" s="32" t="s">
        <v>1478</v>
      </c>
      <c r="E260" s="184"/>
      <c r="F260" s="181"/>
      <c r="G260" s="181"/>
      <c r="H260" s="181"/>
      <c r="I260" s="181"/>
      <c r="J260" s="181"/>
      <c r="K260" s="181"/>
      <c r="L260" s="181"/>
      <c r="M260" s="181"/>
      <c r="N260" s="181"/>
      <c r="O260" s="181"/>
      <c r="P260" s="181"/>
      <c r="Q260" s="181"/>
      <c r="R260" s="181"/>
      <c r="S260" s="181"/>
      <c r="T260" s="181"/>
      <c r="U260" s="181"/>
      <c r="V260" s="181"/>
      <c r="W260" s="181"/>
      <c r="X260" s="181"/>
      <c r="Y260" s="6"/>
      <c r="Z260" s="6"/>
    </row>
    <row r="261" ht="99.75" customHeight="1">
      <c r="A261" s="51" t="str">
        <f>'HECVAT - Full'!A261</f>
        <v>VULN-03</v>
      </c>
      <c r="B261" s="62" t="str">
        <f>VLOOKUP(A261,'HECVAT - Full'!A$24:B$312,2,FALSE)</f>
        <v>Are your applications scanned for vulnerabilities prior to new releases?</v>
      </c>
      <c r="C261" s="32" t="s">
        <v>1535</v>
      </c>
      <c r="D261" s="32" t="s">
        <v>1536</v>
      </c>
      <c r="E261" s="184"/>
      <c r="F261" s="181"/>
      <c r="G261" s="181"/>
      <c r="H261" s="181"/>
      <c r="I261" s="181"/>
      <c r="J261" s="181"/>
      <c r="K261" s="181"/>
      <c r="L261" s="181"/>
      <c r="M261" s="181"/>
      <c r="N261" s="181"/>
      <c r="O261" s="181"/>
      <c r="P261" s="181"/>
      <c r="Q261" s="181"/>
      <c r="R261" s="181"/>
      <c r="S261" s="181"/>
      <c r="T261" s="181"/>
      <c r="U261" s="181"/>
      <c r="V261" s="181"/>
      <c r="W261" s="181"/>
      <c r="X261" s="181"/>
      <c r="Y261" s="6"/>
      <c r="Z261" s="6"/>
    </row>
    <row r="262" ht="128.25" customHeight="1">
      <c r="A262" s="51" t="str">
        <f>'HECVAT - Full'!A262</f>
        <v>VULN-04</v>
      </c>
      <c r="B262" s="62" t="str">
        <f>VLOOKUP(A262,'HECVAT - Full'!A$24:B$312,2,FALSE)</f>
        <v>Are your systems scanned externally for vulnerabilities?</v>
      </c>
      <c r="C262" s="32" t="s">
        <v>1537</v>
      </c>
      <c r="D262" s="32" t="s">
        <v>1478</v>
      </c>
      <c r="E262" s="184"/>
      <c r="F262" s="181"/>
      <c r="G262" s="181"/>
      <c r="H262" s="181"/>
      <c r="I262" s="181"/>
      <c r="J262" s="181"/>
      <c r="K262" s="181"/>
      <c r="L262" s="181"/>
      <c r="M262" s="181"/>
      <c r="N262" s="181"/>
      <c r="O262" s="181"/>
      <c r="P262" s="181"/>
      <c r="Q262" s="181"/>
      <c r="R262" s="181"/>
      <c r="S262" s="181"/>
      <c r="T262" s="181"/>
      <c r="U262" s="181"/>
      <c r="V262" s="181"/>
      <c r="W262" s="181"/>
      <c r="X262" s="181"/>
      <c r="Y262" s="6"/>
      <c r="Z262" s="6"/>
    </row>
    <row r="263" ht="128.25" customHeight="1">
      <c r="A263" s="51" t="str">
        <f>'HECVAT - Full'!A263</f>
        <v>VULN-05</v>
      </c>
      <c r="B263" s="62" t="str">
        <f>VLOOKUP(A263,'HECVAT - Full'!A$24:B$312,2,FALSE)</f>
        <v>Have your systems had an external vulnerability assessment in the last year?</v>
      </c>
      <c r="C263" s="32" t="s">
        <v>1537</v>
      </c>
      <c r="D263" s="32" t="s">
        <v>1478</v>
      </c>
      <c r="E263" s="184"/>
      <c r="F263" s="181"/>
      <c r="G263" s="181"/>
      <c r="H263" s="181"/>
      <c r="I263" s="181"/>
      <c r="J263" s="181"/>
      <c r="K263" s="181"/>
      <c r="L263" s="181"/>
      <c r="M263" s="181"/>
      <c r="N263" s="181"/>
      <c r="O263" s="181"/>
      <c r="P263" s="181"/>
      <c r="Q263" s="181"/>
      <c r="R263" s="181"/>
      <c r="S263" s="181"/>
      <c r="T263" s="181"/>
      <c r="U263" s="181"/>
      <c r="V263" s="181"/>
      <c r="W263" s="181"/>
      <c r="X263" s="181"/>
      <c r="Y263" s="6"/>
      <c r="Z263" s="6"/>
    </row>
    <row r="264" ht="99.75" customHeight="1">
      <c r="A264" s="51" t="str">
        <f>'HECVAT - Full'!A264</f>
        <v>VULN-06</v>
      </c>
      <c r="B264" s="62" t="str">
        <f>VLOOKUP(A264,'HECVAT - Full'!A$24:B$312,2,FALSE)</f>
        <v>Describe or provide a reference to the tool(s) used to scan for vulnerabilities in your applications and systems.</v>
      </c>
      <c r="C264" s="32" t="s">
        <v>1538</v>
      </c>
      <c r="D264" s="32" t="s">
        <v>1539</v>
      </c>
      <c r="E264" s="184"/>
      <c r="F264" s="181"/>
      <c r="G264" s="181"/>
      <c r="H264" s="181"/>
      <c r="I264" s="181"/>
      <c r="J264" s="181"/>
      <c r="K264" s="181"/>
      <c r="L264" s="181"/>
      <c r="M264" s="181"/>
      <c r="N264" s="181"/>
      <c r="O264" s="181"/>
      <c r="P264" s="181"/>
      <c r="Q264" s="181"/>
      <c r="R264" s="181"/>
      <c r="S264" s="181"/>
      <c r="T264" s="181"/>
      <c r="U264" s="181"/>
      <c r="V264" s="181"/>
      <c r="W264" s="181"/>
      <c r="X264" s="181"/>
      <c r="Y264" s="6"/>
      <c r="Z264" s="6"/>
    </row>
    <row r="265" ht="71.25" customHeight="1">
      <c r="A265" s="51" t="str">
        <f>'HECVAT - Full'!A265</f>
        <v>VULN-07</v>
      </c>
      <c r="B265" s="62" t="str">
        <f>VLOOKUP(A265,'HECVAT - Full'!A$24:B$312,2,FALSE)</f>
        <v>Will you provide results of security scans to the Institution?</v>
      </c>
      <c r="C265" s="32" t="s">
        <v>1540</v>
      </c>
      <c r="D265" s="32" t="s">
        <v>1541</v>
      </c>
      <c r="E265" s="184"/>
      <c r="F265" s="181"/>
      <c r="G265" s="181"/>
      <c r="H265" s="181"/>
      <c r="I265" s="181"/>
      <c r="J265" s="181"/>
      <c r="K265" s="181"/>
      <c r="L265" s="181"/>
      <c r="M265" s="181"/>
      <c r="N265" s="181"/>
      <c r="O265" s="181"/>
      <c r="P265" s="181"/>
      <c r="Q265" s="181"/>
      <c r="R265" s="181"/>
      <c r="S265" s="181"/>
      <c r="T265" s="181"/>
      <c r="U265" s="181"/>
      <c r="V265" s="181"/>
      <c r="W265" s="181"/>
      <c r="X265" s="181"/>
      <c r="Y265" s="6"/>
      <c r="Z265" s="6"/>
    </row>
    <row r="266" ht="142.5" customHeight="1">
      <c r="A266" s="51" t="str">
        <f>'HECVAT - Full'!A266</f>
        <v>VULN-08</v>
      </c>
      <c r="B266" s="62" t="str">
        <f>VLOOKUP(A266,'HECVAT - Full'!A$24:B$312,2,FALSE)</f>
        <v>Describe or provide a reference to how you monitor for and protect against common web application security vulnerabilities (e.g. SQL injection, XSS, XSRF, etc.).</v>
      </c>
      <c r="C266" s="32" t="s">
        <v>1542</v>
      </c>
      <c r="D266" s="32" t="s">
        <v>1543</v>
      </c>
      <c r="E266" s="184"/>
      <c r="F266" s="181"/>
      <c r="G266" s="181"/>
      <c r="H266" s="181"/>
      <c r="I266" s="181"/>
      <c r="J266" s="181"/>
      <c r="K266" s="181"/>
      <c r="L266" s="181"/>
      <c r="M266" s="181"/>
      <c r="N266" s="181"/>
      <c r="O266" s="181"/>
      <c r="P266" s="181"/>
      <c r="Q266" s="181"/>
      <c r="R266" s="181"/>
      <c r="S266" s="181"/>
      <c r="T266" s="181"/>
      <c r="U266" s="181"/>
      <c r="V266" s="181"/>
      <c r="W266" s="181"/>
      <c r="X266" s="181"/>
      <c r="Y266" s="6"/>
      <c r="Z266" s="6"/>
    </row>
    <row r="267" ht="75.75" customHeight="1">
      <c r="A267" s="51" t="str">
        <f>'HECVAT - Full'!A267</f>
        <v>VULN-09</v>
      </c>
      <c r="B267" s="62" t="str">
        <f>VLOOKUP(A267,'HECVAT - Full'!A$24:B$312,2,FALSE)</f>
        <v>Will you allow the institution to perform its own security testing of your systems and/or application provided that testing is performed at a mutually agreed upon time and date?</v>
      </c>
      <c r="C267" s="32" t="s">
        <v>1544</v>
      </c>
      <c r="D267" s="32" t="s">
        <v>1545</v>
      </c>
      <c r="E267" s="184"/>
      <c r="F267" s="181"/>
      <c r="G267" s="181"/>
      <c r="H267" s="181"/>
      <c r="I267" s="181"/>
      <c r="J267" s="181"/>
      <c r="K267" s="181"/>
      <c r="L267" s="181"/>
      <c r="M267" s="181"/>
      <c r="N267" s="181"/>
      <c r="O267" s="181"/>
      <c r="P267" s="181"/>
      <c r="Q267" s="181"/>
      <c r="R267" s="181"/>
      <c r="S267" s="181"/>
      <c r="T267" s="181"/>
      <c r="U267" s="181"/>
      <c r="V267" s="181"/>
      <c r="W267" s="181"/>
      <c r="X267" s="181"/>
      <c r="Y267" s="6"/>
      <c r="Z267" s="6"/>
    </row>
    <row r="268" ht="36.0" customHeight="1">
      <c r="A268" s="45" t="str">
        <f>IF(OR($C$24="No",$C$30="Yes"),"HIPAA - Optional based on QUALIFIER response.","HIPAA")</f>
        <v>HIPAA</v>
      </c>
      <c r="B268" s="14"/>
      <c r="C268" s="60" t="str">
        <f>$C$22</f>
        <v>Reason for Question</v>
      </c>
      <c r="D268" s="60" t="str">
        <f>$D$22</f>
        <v>Follow-up Inquiries/Responses</v>
      </c>
      <c r="E268" s="184"/>
      <c r="F268" s="181"/>
      <c r="G268" s="181"/>
      <c r="H268" s="181"/>
      <c r="I268" s="181"/>
      <c r="J268" s="181"/>
      <c r="K268" s="181"/>
      <c r="L268" s="181"/>
      <c r="M268" s="181"/>
      <c r="N268" s="181"/>
      <c r="O268" s="181"/>
      <c r="P268" s="181"/>
      <c r="Q268" s="181"/>
      <c r="R268" s="181"/>
      <c r="S268" s="181"/>
      <c r="T268" s="181"/>
      <c r="U268" s="181"/>
      <c r="V268" s="181"/>
      <c r="W268" s="181"/>
      <c r="X268" s="181"/>
      <c r="Y268" s="6"/>
      <c r="Z268" s="6"/>
    </row>
    <row r="269" ht="64.5" customHeight="1">
      <c r="A269" s="51" t="str">
        <f>'HECVAT - Full'!A269</f>
        <v>HIPA-01</v>
      </c>
      <c r="B269" s="62" t="str">
        <f>VLOOKUP(A269,'HECVAT - Full'!A$24:B$312,2,FALSE)</f>
        <v>Do your workforce members receive regular training related to the HIPAA Privacy and Security Rules and the HITECH Act?</v>
      </c>
      <c r="C269" s="32" t="s">
        <v>1083</v>
      </c>
      <c r="D269" s="32" t="s">
        <v>1546</v>
      </c>
      <c r="E269" s="184"/>
      <c r="F269" s="181"/>
      <c r="G269" s="181"/>
      <c r="H269" s="181"/>
      <c r="I269" s="181"/>
      <c r="J269" s="181"/>
      <c r="K269" s="181"/>
      <c r="L269" s="181"/>
      <c r="M269" s="181"/>
      <c r="N269" s="181"/>
      <c r="O269" s="181"/>
      <c r="P269" s="181"/>
      <c r="Q269" s="181"/>
      <c r="R269" s="181"/>
      <c r="S269" s="181"/>
      <c r="T269" s="181"/>
      <c r="U269" s="181"/>
      <c r="V269" s="181"/>
      <c r="W269" s="181"/>
      <c r="X269" s="181"/>
      <c r="Y269" s="6"/>
      <c r="Z269" s="6"/>
    </row>
    <row r="270" ht="48.0" customHeight="1">
      <c r="A270" s="51" t="str">
        <f>'HECVAT - Full'!A270</f>
        <v>HIPA-02</v>
      </c>
      <c r="B270" s="62" t="str">
        <f>VLOOKUP(A270,'HECVAT - Full'!A$24:B$312,2,FALSE)</f>
        <v>Do you monitor or receive information regarding changes in HIPAA regulations?</v>
      </c>
      <c r="C270" s="32" t="s">
        <v>1117</v>
      </c>
      <c r="D270" s="32" t="s">
        <v>1546</v>
      </c>
      <c r="E270" s="184"/>
      <c r="F270" s="181"/>
      <c r="G270" s="181"/>
      <c r="H270" s="181"/>
      <c r="I270" s="181"/>
      <c r="J270" s="181"/>
      <c r="K270" s="181"/>
      <c r="L270" s="181"/>
      <c r="M270" s="181"/>
      <c r="N270" s="181"/>
      <c r="O270" s="181"/>
      <c r="P270" s="181"/>
      <c r="Q270" s="181"/>
      <c r="R270" s="181"/>
      <c r="S270" s="181"/>
      <c r="T270" s="181"/>
      <c r="U270" s="181"/>
      <c r="V270" s="181"/>
      <c r="W270" s="181"/>
      <c r="X270" s="181"/>
      <c r="Y270" s="6"/>
      <c r="Z270" s="6"/>
    </row>
    <row r="271" ht="48.0" customHeight="1">
      <c r="A271" s="51" t="str">
        <f>'HECVAT - Full'!A271</f>
        <v>HIPA-03</v>
      </c>
      <c r="B271" s="62" t="str">
        <f>VLOOKUP(A271,'HECVAT - Full'!A$24:B$312,2,FALSE)</f>
        <v>Has your organization designated HIPAA Privacy and Security officers as required by the Rules?</v>
      </c>
      <c r="C271" s="32" t="s">
        <v>1118</v>
      </c>
      <c r="D271" s="32" t="s">
        <v>1546</v>
      </c>
      <c r="E271" s="184"/>
      <c r="F271" s="181"/>
      <c r="G271" s="181"/>
      <c r="H271" s="181"/>
      <c r="I271" s="181"/>
      <c r="J271" s="181"/>
      <c r="K271" s="181"/>
      <c r="L271" s="181"/>
      <c r="M271" s="181"/>
      <c r="N271" s="181"/>
      <c r="O271" s="181"/>
      <c r="P271" s="181"/>
      <c r="Q271" s="181"/>
      <c r="R271" s="181"/>
      <c r="S271" s="181"/>
      <c r="T271" s="181"/>
      <c r="U271" s="181"/>
      <c r="V271" s="181"/>
      <c r="W271" s="181"/>
      <c r="X271" s="181"/>
      <c r="Y271" s="6"/>
      <c r="Z271" s="6"/>
    </row>
    <row r="272" ht="48.0" customHeight="1">
      <c r="A272" s="51" t="str">
        <f>'HECVAT - Full'!A272</f>
        <v>HIPA-04</v>
      </c>
      <c r="B272" s="62" t="str">
        <f>VLOOKUP(A272,'HECVAT - Full'!A$24:B$312,2,FALSE)</f>
        <v>Do you comply with the requirements of the Health Information Technology for Economic and Clinical Health Act (HITECH)?</v>
      </c>
      <c r="C272" s="32" t="s">
        <v>1547</v>
      </c>
      <c r="D272" s="32" t="s">
        <v>1546</v>
      </c>
      <c r="E272" s="184"/>
      <c r="F272" s="181"/>
      <c r="G272" s="181"/>
      <c r="H272" s="181"/>
      <c r="I272" s="181"/>
      <c r="J272" s="181"/>
      <c r="K272" s="181"/>
      <c r="L272" s="181"/>
      <c r="M272" s="181"/>
      <c r="N272" s="181"/>
      <c r="O272" s="181"/>
      <c r="P272" s="181"/>
      <c r="Q272" s="181"/>
      <c r="R272" s="181"/>
      <c r="S272" s="181"/>
      <c r="T272" s="181"/>
      <c r="U272" s="181"/>
      <c r="V272" s="181"/>
      <c r="W272" s="181"/>
      <c r="X272" s="181"/>
      <c r="Y272" s="6"/>
      <c r="Z272" s="6"/>
    </row>
    <row r="273" ht="48.0" customHeight="1">
      <c r="A273" s="51" t="str">
        <f>'HECVAT - Full'!A273</f>
        <v>HIPA-05</v>
      </c>
      <c r="B273" s="62" t="str">
        <f>VLOOKUP(A273,'HECVAT - Full'!A$24:B$312,2,FALSE)</f>
        <v>Do you have an incident response process and reporting in place to investigate any potential incidents and report actual incidents?</v>
      </c>
      <c r="C273" s="32" t="s">
        <v>1119</v>
      </c>
      <c r="D273" s="32" t="s">
        <v>1546</v>
      </c>
      <c r="E273" s="184"/>
      <c r="F273" s="181"/>
      <c r="G273" s="181"/>
      <c r="H273" s="181"/>
      <c r="I273" s="181"/>
      <c r="J273" s="181"/>
      <c r="K273" s="181"/>
      <c r="L273" s="181"/>
      <c r="M273" s="181"/>
      <c r="N273" s="181"/>
      <c r="O273" s="181"/>
      <c r="P273" s="181"/>
      <c r="Q273" s="181"/>
      <c r="R273" s="181"/>
      <c r="S273" s="181"/>
      <c r="T273" s="181"/>
      <c r="U273" s="181"/>
      <c r="V273" s="181"/>
      <c r="W273" s="181"/>
      <c r="X273" s="181"/>
      <c r="Y273" s="6"/>
      <c r="Z273" s="6"/>
    </row>
    <row r="274" ht="48.0" customHeight="1">
      <c r="A274" s="51" t="str">
        <f>'HECVAT - Full'!A274</f>
        <v>HIPA-06</v>
      </c>
      <c r="B274" s="62" t="str">
        <f>VLOOKUP(A274,'HECVAT - Full'!A$24:B$312,2,FALSE)</f>
        <v>Do you have a plan to comply with the Breach Notification requirements if there is a breach of data?</v>
      </c>
      <c r="C274" s="32" t="s">
        <v>1124</v>
      </c>
      <c r="D274" s="32" t="s">
        <v>1546</v>
      </c>
      <c r="E274" s="184"/>
      <c r="F274" s="181"/>
      <c r="G274" s="181"/>
      <c r="H274" s="181"/>
      <c r="I274" s="181"/>
      <c r="J274" s="181"/>
      <c r="K274" s="181"/>
      <c r="L274" s="181"/>
      <c r="M274" s="181"/>
      <c r="N274" s="181"/>
      <c r="O274" s="181"/>
      <c r="P274" s="181"/>
      <c r="Q274" s="181"/>
      <c r="R274" s="181"/>
      <c r="S274" s="181"/>
      <c r="T274" s="181"/>
      <c r="U274" s="181"/>
      <c r="V274" s="181"/>
      <c r="W274" s="181"/>
      <c r="X274" s="181"/>
      <c r="Y274" s="6"/>
      <c r="Z274" s="6"/>
    </row>
    <row r="275" ht="48.0" customHeight="1">
      <c r="A275" s="51" t="str">
        <f>'HECVAT - Full'!A275</f>
        <v>HIPA-07</v>
      </c>
      <c r="B275" s="62" t="str">
        <f>VLOOKUP(A275,'HECVAT - Full'!A$24:B$312,2,FALSE)</f>
        <v>Have you conducted a risk analysis as required under the Security Rule?</v>
      </c>
      <c r="C275" s="32" t="s">
        <v>829</v>
      </c>
      <c r="D275" s="32" t="s">
        <v>1546</v>
      </c>
      <c r="E275" s="184"/>
      <c r="F275" s="181"/>
      <c r="G275" s="181"/>
      <c r="H275" s="181"/>
      <c r="I275" s="181"/>
      <c r="J275" s="181"/>
      <c r="K275" s="181"/>
      <c r="L275" s="181"/>
      <c r="M275" s="181"/>
      <c r="N275" s="181"/>
      <c r="O275" s="181"/>
      <c r="P275" s="181"/>
      <c r="Q275" s="181"/>
      <c r="R275" s="181"/>
      <c r="S275" s="181"/>
      <c r="T275" s="181"/>
      <c r="U275" s="181"/>
      <c r="V275" s="181"/>
      <c r="W275" s="181"/>
      <c r="X275" s="181"/>
      <c r="Y275" s="6"/>
      <c r="Z275" s="6"/>
    </row>
    <row r="276" ht="48.0" customHeight="1">
      <c r="A276" s="51" t="str">
        <f>'HECVAT - Full'!A276</f>
        <v>HIPA-08</v>
      </c>
      <c r="B276" s="62" t="str">
        <f>VLOOKUP(A276,'HECVAT - Full'!A$24:B$312,2,FALSE)</f>
        <v>Have you identified areas of risks?</v>
      </c>
      <c r="C276" s="32" t="s">
        <v>1128</v>
      </c>
      <c r="D276" s="32" t="s">
        <v>1546</v>
      </c>
      <c r="E276" s="184"/>
      <c r="F276" s="181"/>
      <c r="G276" s="181"/>
      <c r="H276" s="181"/>
      <c r="I276" s="181"/>
      <c r="J276" s="181"/>
      <c r="K276" s="181"/>
      <c r="L276" s="181"/>
      <c r="M276" s="181"/>
      <c r="N276" s="181"/>
      <c r="O276" s="181"/>
      <c r="P276" s="181"/>
      <c r="Q276" s="181"/>
      <c r="R276" s="181"/>
      <c r="S276" s="181"/>
      <c r="T276" s="181"/>
      <c r="U276" s="181"/>
      <c r="V276" s="181"/>
      <c r="W276" s="181"/>
      <c r="X276" s="181"/>
      <c r="Y276" s="6"/>
      <c r="Z276" s="6"/>
    </row>
    <row r="277" ht="48.0" customHeight="1">
      <c r="A277" s="51" t="str">
        <f>'HECVAT - Full'!A277</f>
        <v>HIPA-09</v>
      </c>
      <c r="B277" s="62" t="str">
        <f>VLOOKUP(A277,'HECVAT - Full'!A$24:B$312,2,FALSE)</f>
        <v>Have you taken actions to mitigate the identified risks?</v>
      </c>
      <c r="C277" s="32" t="s">
        <v>937</v>
      </c>
      <c r="D277" s="32" t="s">
        <v>1546</v>
      </c>
      <c r="E277" s="184"/>
      <c r="F277" s="181"/>
      <c r="G277" s="181"/>
      <c r="H277" s="181"/>
      <c r="I277" s="181"/>
      <c r="J277" s="181"/>
      <c r="K277" s="181"/>
      <c r="L277" s="181"/>
      <c r="M277" s="181"/>
      <c r="N277" s="181"/>
      <c r="O277" s="181"/>
      <c r="P277" s="181"/>
      <c r="Q277" s="181"/>
      <c r="R277" s="181"/>
      <c r="S277" s="181"/>
      <c r="T277" s="181"/>
      <c r="U277" s="181"/>
      <c r="V277" s="181"/>
      <c r="W277" s="181"/>
      <c r="X277" s="181"/>
      <c r="Y277" s="6"/>
      <c r="Z277" s="6"/>
    </row>
    <row r="278" ht="48.0" customHeight="1">
      <c r="A278" s="51" t="str">
        <f>'HECVAT - Full'!A278</f>
        <v>HIPA-10</v>
      </c>
      <c r="B278" s="62" t="str">
        <f>VLOOKUP(A278,'HECVAT - Full'!A$24:B$312,2,FALSE)</f>
        <v>Does your application require user and system administrator password changes at a frequency no greater than 90 days?</v>
      </c>
      <c r="C278" s="32" t="s">
        <v>1129</v>
      </c>
      <c r="D278" s="32" t="s">
        <v>1546</v>
      </c>
      <c r="E278" s="184"/>
      <c r="F278" s="181"/>
      <c r="G278" s="181"/>
      <c r="H278" s="181"/>
      <c r="I278" s="181"/>
      <c r="J278" s="181"/>
      <c r="K278" s="181"/>
      <c r="L278" s="181"/>
      <c r="M278" s="181"/>
      <c r="N278" s="181"/>
      <c r="O278" s="181"/>
      <c r="P278" s="181"/>
      <c r="Q278" s="181"/>
      <c r="R278" s="181"/>
      <c r="S278" s="181"/>
      <c r="T278" s="181"/>
      <c r="U278" s="181"/>
      <c r="V278" s="181"/>
      <c r="W278" s="181"/>
      <c r="X278" s="181"/>
      <c r="Y278" s="6"/>
      <c r="Z278" s="6"/>
    </row>
    <row r="279" ht="48.0" customHeight="1">
      <c r="A279" s="51" t="str">
        <f>'HECVAT - Full'!A279</f>
        <v>HIPA-11</v>
      </c>
      <c r="B279" s="62" t="str">
        <f>VLOOKUP(A279,'HECVAT - Full'!A$24:B$312,2,FALSE)</f>
        <v>Does your application require a user to set their own password after an administrator reset or on first use of the account?</v>
      </c>
      <c r="C279" s="32" t="s">
        <v>1129</v>
      </c>
      <c r="D279" s="32" t="s">
        <v>1546</v>
      </c>
      <c r="E279" s="184"/>
      <c r="F279" s="181"/>
      <c r="G279" s="181"/>
      <c r="H279" s="181"/>
      <c r="I279" s="181"/>
      <c r="J279" s="181"/>
      <c r="K279" s="181"/>
      <c r="L279" s="181"/>
      <c r="M279" s="181"/>
      <c r="N279" s="181"/>
      <c r="O279" s="181"/>
      <c r="P279" s="181"/>
      <c r="Q279" s="181"/>
      <c r="R279" s="181"/>
      <c r="S279" s="181"/>
      <c r="T279" s="181"/>
      <c r="U279" s="181"/>
      <c r="V279" s="181"/>
      <c r="W279" s="181"/>
      <c r="X279" s="181"/>
      <c r="Y279" s="6"/>
      <c r="Z279" s="6"/>
    </row>
    <row r="280" ht="48.0" customHeight="1">
      <c r="A280" s="51" t="str">
        <f>'HECVAT - Full'!A280</f>
        <v>HIPA-12</v>
      </c>
      <c r="B280" s="62" t="str">
        <f>VLOOKUP(A280,'HECVAT - Full'!A$24:B$312,2,FALSE)</f>
        <v>Does your application lock-out an account after a number of failed login attempts? </v>
      </c>
      <c r="C280" s="32" t="s">
        <v>1131</v>
      </c>
      <c r="D280" s="32" t="s">
        <v>1546</v>
      </c>
      <c r="E280" s="184"/>
      <c r="F280" s="181"/>
      <c r="G280" s="181"/>
      <c r="H280" s="181"/>
      <c r="I280" s="181"/>
      <c r="J280" s="181"/>
      <c r="K280" s="181"/>
      <c r="L280" s="181"/>
      <c r="M280" s="181"/>
      <c r="N280" s="181"/>
      <c r="O280" s="181"/>
      <c r="P280" s="181"/>
      <c r="Q280" s="181"/>
      <c r="R280" s="181"/>
      <c r="S280" s="181"/>
      <c r="T280" s="181"/>
      <c r="U280" s="181"/>
      <c r="V280" s="181"/>
      <c r="W280" s="181"/>
      <c r="X280" s="181"/>
      <c r="Y280" s="6"/>
      <c r="Z280" s="6"/>
    </row>
    <row r="281" ht="48.0" customHeight="1">
      <c r="A281" s="51" t="str">
        <f>'HECVAT - Full'!A281</f>
        <v>HIPA-13</v>
      </c>
      <c r="B281" s="62" t="str">
        <f>VLOOKUP(A281,'HECVAT - Full'!A$24:B$312,2,FALSE)</f>
        <v>Does your application automatically lock or log-out an account after a period of inactivity?</v>
      </c>
      <c r="C281" s="32" t="s">
        <v>1134</v>
      </c>
      <c r="D281" s="32" t="s">
        <v>1546</v>
      </c>
      <c r="E281" s="184"/>
      <c r="F281" s="181"/>
      <c r="G281" s="181"/>
      <c r="H281" s="181"/>
      <c r="I281" s="181"/>
      <c r="J281" s="181"/>
      <c r="K281" s="181"/>
      <c r="L281" s="181"/>
      <c r="M281" s="181"/>
      <c r="N281" s="181"/>
      <c r="O281" s="181"/>
      <c r="P281" s="181"/>
      <c r="Q281" s="181"/>
      <c r="R281" s="181"/>
      <c r="S281" s="181"/>
      <c r="T281" s="181"/>
      <c r="U281" s="181"/>
      <c r="V281" s="181"/>
      <c r="W281" s="181"/>
      <c r="X281" s="181"/>
      <c r="Y281" s="6"/>
      <c r="Z281" s="6"/>
    </row>
    <row r="282" ht="48.0" customHeight="1">
      <c r="A282" s="51" t="str">
        <f>'HECVAT - Full'!A282</f>
        <v>HIPA-14</v>
      </c>
      <c r="B282" s="62" t="str">
        <f>VLOOKUP(A282,'HECVAT - Full'!A$24:B$312,2,FALSE)</f>
        <v>Are passwords visible in plain text, whether when stored or entered, including service level accounts (i.e. database accounts, etc.)?</v>
      </c>
      <c r="C282" s="32" t="s">
        <v>1137</v>
      </c>
      <c r="D282" s="32" t="s">
        <v>1546</v>
      </c>
      <c r="E282" s="184"/>
      <c r="F282" s="181"/>
      <c r="G282" s="181"/>
      <c r="H282" s="181"/>
      <c r="I282" s="181"/>
      <c r="J282" s="181"/>
      <c r="K282" s="181"/>
      <c r="L282" s="181"/>
      <c r="M282" s="181"/>
      <c r="N282" s="181"/>
      <c r="O282" s="181"/>
      <c r="P282" s="181"/>
      <c r="Q282" s="181"/>
      <c r="R282" s="181"/>
      <c r="S282" s="181"/>
      <c r="T282" s="181"/>
      <c r="U282" s="181"/>
      <c r="V282" s="181"/>
      <c r="W282" s="181"/>
      <c r="X282" s="181"/>
      <c r="Y282" s="6"/>
      <c r="Z282" s="6"/>
    </row>
    <row r="283" ht="48.0" customHeight="1">
      <c r="A283" s="51" t="str">
        <f>'HECVAT - Full'!A283</f>
        <v>HIPA-15</v>
      </c>
      <c r="B283" s="62" t="str">
        <f>VLOOKUP(A283,'HECVAT - Full'!A$24:B$312,2,FALSE)</f>
        <v>If the application is institution-hosted, can all service level and administrative account passwords be changed by the institution?</v>
      </c>
      <c r="C283" s="32" t="s">
        <v>1137</v>
      </c>
      <c r="D283" s="32" t="s">
        <v>1546</v>
      </c>
      <c r="E283" s="184"/>
      <c r="F283" s="181"/>
      <c r="G283" s="181"/>
      <c r="H283" s="181"/>
      <c r="I283" s="181"/>
      <c r="J283" s="181"/>
      <c r="K283" s="181"/>
      <c r="L283" s="181"/>
      <c r="M283" s="181"/>
      <c r="N283" s="181"/>
      <c r="O283" s="181"/>
      <c r="P283" s="181"/>
      <c r="Q283" s="181"/>
      <c r="R283" s="181"/>
      <c r="S283" s="181"/>
      <c r="T283" s="181"/>
      <c r="U283" s="181"/>
      <c r="V283" s="181"/>
      <c r="W283" s="181"/>
      <c r="X283" s="181"/>
      <c r="Y283" s="6"/>
      <c r="Z283" s="6"/>
    </row>
    <row r="284" ht="48.0" customHeight="1">
      <c r="A284" s="51" t="str">
        <f>'HECVAT - Full'!A284</f>
        <v>HIPA-16</v>
      </c>
      <c r="B284" s="62" t="str">
        <f>VLOOKUP(A284,'HECVAT - Full'!A$24:B$312,2,FALSE)</f>
        <v>Does your application provide the ability to define user access levels?</v>
      </c>
      <c r="C284" s="32" t="s">
        <v>1138</v>
      </c>
      <c r="D284" s="32" t="s">
        <v>1546</v>
      </c>
      <c r="E284" s="184"/>
      <c r="F284" s="181"/>
      <c r="G284" s="181"/>
      <c r="H284" s="181"/>
      <c r="I284" s="181"/>
      <c r="J284" s="181"/>
      <c r="K284" s="181"/>
      <c r="L284" s="181"/>
      <c r="M284" s="181"/>
      <c r="N284" s="181"/>
      <c r="O284" s="181"/>
      <c r="P284" s="181"/>
      <c r="Q284" s="181"/>
      <c r="R284" s="181"/>
      <c r="S284" s="181"/>
      <c r="T284" s="181"/>
      <c r="U284" s="181"/>
      <c r="V284" s="181"/>
      <c r="W284" s="181"/>
      <c r="X284" s="181"/>
      <c r="Y284" s="6"/>
      <c r="Z284" s="6"/>
    </row>
    <row r="285" ht="48.0" customHeight="1">
      <c r="A285" s="51" t="str">
        <f>'HECVAT - Full'!A285</f>
        <v>HIPA-17</v>
      </c>
      <c r="B285" s="62" t="str">
        <f>VLOOKUP(A285,'HECVAT - Full'!A$24:B$312,2,FALSE)</f>
        <v>Does your application support varying levels of access to administrative tasks defined individually per user?</v>
      </c>
      <c r="C285" s="32" t="s">
        <v>1140</v>
      </c>
      <c r="D285" s="32" t="s">
        <v>1546</v>
      </c>
      <c r="E285" s="184"/>
      <c r="F285" s="181"/>
      <c r="G285" s="181"/>
      <c r="H285" s="181"/>
      <c r="I285" s="181"/>
      <c r="J285" s="181"/>
      <c r="K285" s="181"/>
      <c r="L285" s="181"/>
      <c r="M285" s="181"/>
      <c r="N285" s="181"/>
      <c r="O285" s="181"/>
      <c r="P285" s="181"/>
      <c r="Q285" s="181"/>
      <c r="R285" s="181"/>
      <c r="S285" s="181"/>
      <c r="T285" s="181"/>
      <c r="U285" s="181"/>
      <c r="V285" s="181"/>
      <c r="W285" s="181"/>
      <c r="X285" s="181"/>
      <c r="Y285" s="6"/>
      <c r="Z285" s="6"/>
    </row>
    <row r="286" ht="48.0" customHeight="1">
      <c r="A286" s="51" t="str">
        <f>'HECVAT - Full'!A286</f>
        <v>HIPA-18</v>
      </c>
      <c r="B286" s="62" t="str">
        <f>VLOOKUP(A286,'HECVAT - Full'!A$24:B$312,2,FALSE)</f>
        <v>Does your application support varying levels of access to records based on user ID?</v>
      </c>
      <c r="C286" s="32" t="s">
        <v>1142</v>
      </c>
      <c r="D286" s="32" t="s">
        <v>1546</v>
      </c>
      <c r="E286" s="184"/>
      <c r="F286" s="181"/>
      <c r="G286" s="181"/>
      <c r="H286" s="181"/>
      <c r="I286" s="181"/>
      <c r="J286" s="181"/>
      <c r="K286" s="181"/>
      <c r="L286" s="181"/>
      <c r="M286" s="181"/>
      <c r="N286" s="181"/>
      <c r="O286" s="181"/>
      <c r="P286" s="181"/>
      <c r="Q286" s="181"/>
      <c r="R286" s="181"/>
      <c r="S286" s="181"/>
      <c r="T286" s="181"/>
      <c r="U286" s="181"/>
      <c r="V286" s="181"/>
      <c r="W286" s="181"/>
      <c r="X286" s="181"/>
      <c r="Y286" s="6"/>
      <c r="Z286" s="6"/>
    </row>
    <row r="287" ht="46.5" customHeight="1">
      <c r="A287" s="51" t="str">
        <f>'HECVAT - Full'!A287</f>
        <v>HIPA-19</v>
      </c>
      <c r="B287" s="62" t="str">
        <f>VLOOKUP(A287,'HECVAT - Full'!A$24:B$312,2,FALSE)</f>
        <v>Is there a limit to the number of groups a user can be assigned?</v>
      </c>
      <c r="C287" s="32" t="s">
        <v>1144</v>
      </c>
      <c r="D287" s="32" t="s">
        <v>1546</v>
      </c>
      <c r="E287" s="184"/>
      <c r="F287" s="181"/>
      <c r="G287" s="181"/>
      <c r="H287" s="181"/>
      <c r="I287" s="181"/>
      <c r="J287" s="181"/>
      <c r="K287" s="181"/>
      <c r="L287" s="181"/>
      <c r="M287" s="181"/>
      <c r="N287" s="181"/>
      <c r="O287" s="181"/>
      <c r="P287" s="181"/>
      <c r="Q287" s="181"/>
      <c r="R287" s="181"/>
      <c r="S287" s="181"/>
      <c r="T287" s="181"/>
      <c r="U287" s="181"/>
      <c r="V287" s="181"/>
      <c r="W287" s="181"/>
      <c r="X287" s="181"/>
      <c r="Y287" s="6"/>
      <c r="Z287" s="6"/>
    </row>
    <row r="288" ht="46.5" customHeight="1">
      <c r="A288" s="51" t="str">
        <f>'HECVAT - Full'!A288</f>
        <v>HIPA-20</v>
      </c>
      <c r="B288" s="62" t="str">
        <f>VLOOKUP(A288,'HECVAT - Full'!A$24:B$312,2,FALSE)</f>
        <v>Do accounts used for vendor supplied remote support abide by the same authentication policies and access logging as the rest of the system?</v>
      </c>
      <c r="C288" s="32" t="s">
        <v>1144</v>
      </c>
      <c r="D288" s="32" t="s">
        <v>1546</v>
      </c>
      <c r="E288" s="184"/>
      <c r="F288" s="181"/>
      <c r="G288" s="181"/>
      <c r="H288" s="181"/>
      <c r="I288" s="181"/>
      <c r="J288" s="181"/>
      <c r="K288" s="181"/>
      <c r="L288" s="181"/>
      <c r="M288" s="181"/>
      <c r="N288" s="181"/>
      <c r="O288" s="181"/>
      <c r="P288" s="181"/>
      <c r="Q288" s="181"/>
      <c r="R288" s="181"/>
      <c r="S288" s="181"/>
      <c r="T288" s="181"/>
      <c r="U288" s="181"/>
      <c r="V288" s="181"/>
      <c r="W288" s="181"/>
      <c r="X288" s="181"/>
      <c r="Y288" s="6"/>
      <c r="Z288" s="6"/>
    </row>
    <row r="289" ht="48.0" customHeight="1">
      <c r="A289" s="51" t="str">
        <f>'HECVAT - Full'!A289</f>
        <v>HIPA-21</v>
      </c>
      <c r="B289" s="62" t="str">
        <f>VLOOKUP(A289,'HECVAT - Full'!A$24:B$312,2,FALSE)</f>
        <v>Does the application log record access including specific user, date/time of access, and originating IP or device? </v>
      </c>
      <c r="C289" s="32" t="s">
        <v>1548</v>
      </c>
      <c r="D289" s="32" t="s">
        <v>1546</v>
      </c>
      <c r="E289" s="184"/>
      <c r="F289" s="181"/>
      <c r="G289" s="181"/>
      <c r="H289" s="181"/>
      <c r="I289" s="181"/>
      <c r="J289" s="181"/>
      <c r="K289" s="181"/>
      <c r="L289" s="181"/>
      <c r="M289" s="181"/>
      <c r="N289" s="181"/>
      <c r="O289" s="181"/>
      <c r="P289" s="181"/>
      <c r="Q289" s="181"/>
      <c r="R289" s="181"/>
      <c r="S289" s="181"/>
      <c r="T289" s="181"/>
      <c r="U289" s="181"/>
      <c r="V289" s="181"/>
      <c r="W289" s="181"/>
      <c r="X289" s="181"/>
      <c r="Y289" s="6"/>
      <c r="Z289" s="6"/>
    </row>
    <row r="290" ht="64.5" customHeight="1">
      <c r="A290" s="51" t="str">
        <f>'HECVAT - Full'!A290</f>
        <v>HIPA-22</v>
      </c>
      <c r="B290" s="62" t="str">
        <f>VLOOKUP(A290,'HECVAT - Full'!A$24:B$312,2,FALSE)</f>
        <v>Does the application log administrative activity, such user account access changes and password changes, including specific user, date/time of changes, and originating IP or device?</v>
      </c>
      <c r="C290" s="32" t="s">
        <v>1150</v>
      </c>
      <c r="D290" s="32" t="s">
        <v>1546</v>
      </c>
      <c r="E290" s="184"/>
      <c r="F290" s="181"/>
      <c r="G290" s="181"/>
      <c r="H290" s="181"/>
      <c r="I290" s="181"/>
      <c r="J290" s="181"/>
      <c r="K290" s="181"/>
      <c r="L290" s="181"/>
      <c r="M290" s="181"/>
      <c r="N290" s="181"/>
      <c r="O290" s="181"/>
      <c r="P290" s="181"/>
      <c r="Q290" s="181"/>
      <c r="R290" s="181"/>
      <c r="S290" s="181"/>
      <c r="T290" s="181"/>
      <c r="U290" s="181"/>
      <c r="V290" s="181"/>
      <c r="W290" s="181"/>
      <c r="X290" s="181"/>
      <c r="Y290" s="6"/>
      <c r="Z290" s="6"/>
    </row>
    <row r="291" ht="48.0" customHeight="1">
      <c r="A291" s="51" t="str">
        <f>'HECVAT - Full'!A291</f>
        <v>HIPA-23</v>
      </c>
      <c r="B291" s="62" t="str">
        <f>VLOOKUP(A291,'HECVAT - Full'!A$24:B$312,2,FALSE)</f>
        <v>How long does the application keep access/change logs?</v>
      </c>
      <c r="C291" s="32" t="s">
        <v>1150</v>
      </c>
      <c r="D291" s="32" t="s">
        <v>1546</v>
      </c>
      <c r="E291" s="184"/>
      <c r="F291" s="181"/>
      <c r="G291" s="181"/>
      <c r="H291" s="181"/>
      <c r="I291" s="181"/>
      <c r="J291" s="181"/>
      <c r="K291" s="181"/>
      <c r="L291" s="181"/>
      <c r="M291" s="181"/>
      <c r="N291" s="181"/>
      <c r="O291" s="181"/>
      <c r="P291" s="181"/>
      <c r="Q291" s="181"/>
      <c r="R291" s="181"/>
      <c r="S291" s="181"/>
      <c r="T291" s="181"/>
      <c r="U291" s="181"/>
      <c r="V291" s="181"/>
      <c r="W291" s="181"/>
      <c r="X291" s="181"/>
      <c r="Y291" s="6"/>
      <c r="Z291" s="6"/>
    </row>
    <row r="292" ht="48.0" customHeight="1">
      <c r="A292" s="51" t="str">
        <f>'HECVAT - Full'!A292</f>
        <v>HIPA-24</v>
      </c>
      <c r="B292" s="62" t="str">
        <f>VLOOKUP(A292,'HECVAT - Full'!A$24:B$312,2,FALSE)</f>
        <v>Can the application logs be archived? </v>
      </c>
      <c r="C292" s="32" t="s">
        <v>1150</v>
      </c>
      <c r="D292" s="32" t="s">
        <v>1546</v>
      </c>
      <c r="E292" s="184"/>
      <c r="F292" s="181"/>
      <c r="G292" s="181"/>
      <c r="H292" s="181"/>
      <c r="I292" s="181"/>
      <c r="J292" s="181"/>
      <c r="K292" s="181"/>
      <c r="L292" s="181"/>
      <c r="M292" s="181"/>
      <c r="N292" s="181"/>
      <c r="O292" s="181"/>
      <c r="P292" s="181"/>
      <c r="Q292" s="181"/>
      <c r="R292" s="181"/>
      <c r="S292" s="181"/>
      <c r="T292" s="181"/>
      <c r="U292" s="181"/>
      <c r="V292" s="181"/>
      <c r="W292" s="181"/>
      <c r="X292" s="181"/>
      <c r="Y292" s="6"/>
      <c r="Z292" s="6"/>
    </row>
    <row r="293" ht="48.0" customHeight="1">
      <c r="A293" s="51" t="str">
        <f>'HECVAT - Full'!A293</f>
        <v>HIPA-25</v>
      </c>
      <c r="B293" s="62" t="str">
        <f>VLOOKUP(A293,'HECVAT - Full'!A$24:B$312,2,FALSE)</f>
        <v>Can the application logs be saved externally? </v>
      </c>
      <c r="C293" s="32" t="s">
        <v>1150</v>
      </c>
      <c r="D293" s="32" t="s">
        <v>1546</v>
      </c>
      <c r="E293" s="184"/>
      <c r="F293" s="181"/>
      <c r="G293" s="181"/>
      <c r="H293" s="181"/>
      <c r="I293" s="181"/>
      <c r="J293" s="181"/>
      <c r="K293" s="181"/>
      <c r="L293" s="181"/>
      <c r="M293" s="181"/>
      <c r="N293" s="181"/>
      <c r="O293" s="181"/>
      <c r="P293" s="181"/>
      <c r="Q293" s="181"/>
      <c r="R293" s="181"/>
      <c r="S293" s="181"/>
      <c r="T293" s="181"/>
      <c r="U293" s="181"/>
      <c r="V293" s="181"/>
      <c r="W293" s="181"/>
      <c r="X293" s="181"/>
      <c r="Y293" s="6"/>
      <c r="Z293" s="6"/>
    </row>
    <row r="294" ht="48.0" customHeight="1">
      <c r="A294" s="51" t="str">
        <f>'HECVAT - Full'!A294</f>
        <v>HIPA-26</v>
      </c>
      <c r="B294" s="62" t="str">
        <f>VLOOKUP(A294,'HECVAT - Full'!A$24:B$312,2,FALSE)</f>
        <v>Does your data backup and retention policies and practices meet HIPAA requirements?</v>
      </c>
      <c r="C294" s="32" t="s">
        <v>1151</v>
      </c>
      <c r="D294" s="32" t="s">
        <v>1546</v>
      </c>
      <c r="E294" s="184"/>
      <c r="F294" s="181"/>
      <c r="G294" s="181"/>
      <c r="H294" s="181"/>
      <c r="I294" s="181"/>
      <c r="J294" s="181"/>
      <c r="K294" s="181"/>
      <c r="L294" s="181"/>
      <c r="M294" s="181"/>
      <c r="N294" s="181"/>
      <c r="O294" s="181"/>
      <c r="P294" s="181"/>
      <c r="Q294" s="181"/>
      <c r="R294" s="181"/>
      <c r="S294" s="181"/>
      <c r="T294" s="181"/>
      <c r="U294" s="181"/>
      <c r="V294" s="181"/>
      <c r="W294" s="181"/>
      <c r="X294" s="181"/>
      <c r="Y294" s="6"/>
      <c r="Z294" s="6"/>
    </row>
    <row r="295" ht="48.0" customHeight="1">
      <c r="A295" s="51" t="str">
        <f>'HECVAT - Full'!A295</f>
        <v>HIPA-27</v>
      </c>
      <c r="B295" s="62" t="str">
        <f>VLOOKUP(A295,'HECVAT - Full'!A$24:B$312,2,FALSE)</f>
        <v>Do you have a disaster recovery plan and emergency mode operation plan?</v>
      </c>
      <c r="C295" s="32" t="s">
        <v>1152</v>
      </c>
      <c r="D295" s="32" t="s">
        <v>1546</v>
      </c>
      <c r="E295" s="184"/>
      <c r="F295" s="181"/>
      <c r="G295" s="181"/>
      <c r="H295" s="181"/>
      <c r="I295" s="181"/>
      <c r="J295" s="181"/>
      <c r="K295" s="181"/>
      <c r="L295" s="181"/>
      <c r="M295" s="181"/>
      <c r="N295" s="181"/>
      <c r="O295" s="181"/>
      <c r="P295" s="181"/>
      <c r="Q295" s="181"/>
      <c r="R295" s="181"/>
      <c r="S295" s="181"/>
      <c r="T295" s="181"/>
      <c r="U295" s="181"/>
      <c r="V295" s="181"/>
      <c r="W295" s="181"/>
      <c r="X295" s="181"/>
      <c r="Y295" s="6"/>
      <c r="Z295" s="6"/>
    </row>
    <row r="296" ht="48.0" customHeight="1">
      <c r="A296" s="51" t="str">
        <f>'HECVAT - Full'!A296</f>
        <v>HIPA-28</v>
      </c>
      <c r="B296" s="62" t="str">
        <f>VLOOKUP(A296,'HECVAT - Full'!A$24:B$312,2,FALSE)</f>
        <v>Have the policies/plans mentioned above been tested?</v>
      </c>
      <c r="C296" s="32" t="s">
        <v>1152</v>
      </c>
      <c r="D296" s="32" t="s">
        <v>1546</v>
      </c>
      <c r="E296" s="184"/>
      <c r="F296" s="181"/>
      <c r="G296" s="181"/>
      <c r="H296" s="181"/>
      <c r="I296" s="181"/>
      <c r="J296" s="181"/>
      <c r="K296" s="181"/>
      <c r="L296" s="181"/>
      <c r="M296" s="181"/>
      <c r="N296" s="181"/>
      <c r="O296" s="181"/>
      <c r="P296" s="181"/>
      <c r="Q296" s="181"/>
      <c r="R296" s="181"/>
      <c r="S296" s="181"/>
      <c r="T296" s="181"/>
      <c r="U296" s="181"/>
      <c r="V296" s="181"/>
      <c r="W296" s="181"/>
      <c r="X296" s="181"/>
      <c r="Y296" s="6"/>
      <c r="Z296" s="6"/>
    </row>
    <row r="297" ht="48.0" customHeight="1">
      <c r="A297" s="51" t="str">
        <f>'HECVAT - Full'!A297</f>
        <v>HIPA-29</v>
      </c>
      <c r="B297" s="62" t="str">
        <f>VLOOKUP(A297,'HECVAT - Full'!A$24:B$312,2,FALSE)</f>
        <v>Can you provide a HIPAA compliance attestation document?</v>
      </c>
      <c r="C297" s="32" t="s">
        <v>1154</v>
      </c>
      <c r="D297" s="32" t="s">
        <v>1546</v>
      </c>
      <c r="E297" s="184"/>
      <c r="F297" s="181"/>
      <c r="G297" s="181"/>
      <c r="H297" s="181"/>
      <c r="I297" s="181"/>
      <c r="J297" s="181"/>
      <c r="K297" s="181"/>
      <c r="L297" s="181"/>
      <c r="M297" s="181"/>
      <c r="N297" s="181"/>
      <c r="O297" s="181"/>
      <c r="P297" s="181"/>
      <c r="Q297" s="181"/>
      <c r="R297" s="181"/>
      <c r="S297" s="181"/>
      <c r="T297" s="181"/>
      <c r="U297" s="181"/>
      <c r="V297" s="181"/>
      <c r="W297" s="181"/>
      <c r="X297" s="181"/>
      <c r="Y297" s="6"/>
      <c r="Z297" s="6"/>
    </row>
    <row r="298" ht="48.0" customHeight="1">
      <c r="A298" s="51" t="str">
        <f>'HECVAT - Full'!A298</f>
        <v>HIPA-30</v>
      </c>
      <c r="B298" s="62" t="str">
        <f>VLOOKUP(A298,'HECVAT - Full'!A$24:B$312,2,FALSE)</f>
        <v>Are you willing to enter into a Business Associate Agreement (BAA)?</v>
      </c>
      <c r="C298" s="32" t="s">
        <v>1155</v>
      </c>
      <c r="D298" s="32" t="s">
        <v>1546</v>
      </c>
      <c r="E298" s="184"/>
      <c r="F298" s="181"/>
      <c r="G298" s="181"/>
      <c r="H298" s="181"/>
      <c r="I298" s="181"/>
      <c r="J298" s="181"/>
      <c r="K298" s="181"/>
      <c r="L298" s="181"/>
      <c r="M298" s="181"/>
      <c r="N298" s="181"/>
      <c r="O298" s="181"/>
      <c r="P298" s="181"/>
      <c r="Q298" s="181"/>
      <c r="R298" s="181"/>
      <c r="S298" s="181"/>
      <c r="T298" s="181"/>
      <c r="U298" s="181"/>
      <c r="V298" s="181"/>
      <c r="W298" s="181"/>
      <c r="X298" s="181"/>
      <c r="Y298" s="6"/>
      <c r="Z298" s="6"/>
    </row>
    <row r="299" ht="46.5" customHeight="1">
      <c r="A299" s="51" t="str">
        <f>'HECVAT - Full'!A299</f>
        <v>HIPA-31</v>
      </c>
      <c r="B299" s="62" t="str">
        <f>VLOOKUP(A299,'HECVAT - Full'!A$24:B$312,2,FALSE)</f>
        <v>Have you entered into a BAA with all subcontractors who may have access to protected health information (PHI)?</v>
      </c>
      <c r="C299" s="32" t="s">
        <v>1156</v>
      </c>
      <c r="D299" s="32" t="s">
        <v>1546</v>
      </c>
      <c r="E299" s="184"/>
      <c r="F299" s="181"/>
      <c r="G299" s="181"/>
      <c r="H299" s="181"/>
      <c r="I299" s="181"/>
      <c r="J299" s="181"/>
      <c r="K299" s="181"/>
      <c r="L299" s="181"/>
      <c r="M299" s="181"/>
      <c r="N299" s="181"/>
      <c r="O299" s="181"/>
      <c r="P299" s="181"/>
      <c r="Q299" s="181"/>
      <c r="R299" s="181"/>
      <c r="S299" s="181"/>
      <c r="T299" s="181"/>
      <c r="U299" s="181"/>
      <c r="V299" s="181"/>
      <c r="W299" s="181"/>
      <c r="X299" s="181"/>
      <c r="Y299" s="6"/>
      <c r="Z299" s="6"/>
    </row>
    <row r="300" ht="36.0" customHeight="1">
      <c r="A300" s="45" t="str">
        <f>IF(OR($C$29="No",$C$30="Yes"),"PCI DSS - Optional based on QUALIFIER response.","PCI DSS")</f>
        <v>PCI DSS</v>
      </c>
      <c r="B300" s="14"/>
      <c r="C300" s="60" t="str">
        <f>$C$22</f>
        <v>Reason for Question</v>
      </c>
      <c r="D300" s="60" t="str">
        <f>$D$22</f>
        <v>Follow-up Inquiries/Responses</v>
      </c>
      <c r="E300" s="184"/>
      <c r="F300" s="181"/>
      <c r="G300" s="181"/>
      <c r="H300" s="181"/>
      <c r="I300" s="181"/>
      <c r="J300" s="181"/>
      <c r="K300" s="181"/>
      <c r="L300" s="181"/>
      <c r="M300" s="181"/>
      <c r="N300" s="181"/>
      <c r="O300" s="181"/>
      <c r="P300" s="181"/>
      <c r="Q300" s="181"/>
      <c r="R300" s="181"/>
      <c r="S300" s="181"/>
      <c r="T300" s="181"/>
      <c r="U300" s="181"/>
      <c r="V300" s="181"/>
      <c r="W300" s="181"/>
      <c r="X300" s="181"/>
      <c r="Y300" s="6"/>
      <c r="Z300" s="6"/>
    </row>
    <row r="301" ht="48.0" customHeight="1">
      <c r="A301" s="51" t="str">
        <f>'HECVAT - Full'!A301</f>
        <v>PCID-01</v>
      </c>
      <c r="B301" s="62" t="str">
        <f>VLOOKUP(A301,'HECVAT - Full'!A$24:B$312,2,FALSE)</f>
        <v>Do your systems or products store, process, or transmit cardholder (payment/credit/debt card) data?</v>
      </c>
      <c r="C301" s="98">
        <v>12.8</v>
      </c>
      <c r="D301" s="32" t="s">
        <v>1549</v>
      </c>
      <c r="E301" s="184"/>
      <c r="F301" s="181"/>
      <c r="G301" s="181"/>
      <c r="H301" s="181"/>
      <c r="I301" s="181"/>
      <c r="J301" s="181"/>
      <c r="K301" s="181"/>
      <c r="L301" s="181"/>
      <c r="M301" s="181"/>
      <c r="N301" s="181"/>
      <c r="O301" s="181"/>
      <c r="P301" s="181"/>
      <c r="Q301" s="181"/>
      <c r="R301" s="181"/>
      <c r="S301" s="181"/>
      <c r="T301" s="181"/>
      <c r="U301" s="181"/>
      <c r="V301" s="181"/>
      <c r="W301" s="181"/>
      <c r="X301" s="181"/>
      <c r="Y301" s="6"/>
      <c r="Z301" s="6"/>
    </row>
    <row r="302" ht="48.0" customHeight="1">
      <c r="A302" s="51" t="str">
        <f>'HECVAT - Full'!A302</f>
        <v>PCID-02</v>
      </c>
      <c r="B302" s="62" t="str">
        <f>VLOOKUP(A302,'HECVAT - Full'!A$24:B$312,2,FALSE)</f>
        <v>Are you compliant with the Payment Card Industry Data Security Standard (PCI DSS)?</v>
      </c>
      <c r="C302" s="98">
        <v>12.8</v>
      </c>
      <c r="D302" s="32" t="s">
        <v>1549</v>
      </c>
      <c r="E302" s="184"/>
      <c r="F302" s="181"/>
      <c r="G302" s="181"/>
      <c r="H302" s="181"/>
      <c r="I302" s="181"/>
      <c r="J302" s="181"/>
      <c r="K302" s="181"/>
      <c r="L302" s="181"/>
      <c r="M302" s="181"/>
      <c r="N302" s="181"/>
      <c r="O302" s="181"/>
      <c r="P302" s="181"/>
      <c r="Q302" s="181"/>
      <c r="R302" s="181"/>
      <c r="S302" s="181"/>
      <c r="T302" s="181"/>
      <c r="U302" s="181"/>
      <c r="V302" s="181"/>
      <c r="W302" s="181"/>
      <c r="X302" s="181"/>
      <c r="Y302" s="6"/>
      <c r="Z302" s="6"/>
    </row>
    <row r="303" ht="48.0" customHeight="1">
      <c r="A303" s="51" t="str">
        <f>'HECVAT - Full'!A303</f>
        <v>PCID-03</v>
      </c>
      <c r="B303" s="62" t="str">
        <f>VLOOKUP(A303,'HECVAT - Full'!A$24:B$312,2,FALSE)</f>
        <v>Do you have a current, executed within the past year, Attestation of Compliance (AoC) or Report on Compliance (RoC)?</v>
      </c>
      <c r="C303" s="98">
        <v>12.8</v>
      </c>
      <c r="D303" s="32" t="s">
        <v>1549</v>
      </c>
      <c r="E303" s="184"/>
      <c r="F303" s="181"/>
      <c r="G303" s="181"/>
      <c r="H303" s="181"/>
      <c r="I303" s="181"/>
      <c r="J303" s="181"/>
      <c r="K303" s="181"/>
      <c r="L303" s="181"/>
      <c r="M303" s="181"/>
      <c r="N303" s="181"/>
      <c r="O303" s="181"/>
      <c r="P303" s="181"/>
      <c r="Q303" s="181"/>
      <c r="R303" s="181"/>
      <c r="S303" s="181"/>
      <c r="T303" s="181"/>
      <c r="U303" s="181"/>
      <c r="V303" s="181"/>
      <c r="W303" s="181"/>
      <c r="X303" s="181"/>
      <c r="Y303" s="6"/>
      <c r="Z303" s="6"/>
    </row>
    <row r="304" ht="48.0" customHeight="1">
      <c r="A304" s="51" t="str">
        <f>'HECVAT - Full'!A304</f>
        <v>PCID-04</v>
      </c>
      <c r="B304" s="62" t="str">
        <f>VLOOKUP(A304,'HECVAT - Full'!A$24:B$312,2,FALSE)</f>
        <v>Are you classified as a service provider?</v>
      </c>
      <c r="C304" s="98">
        <v>12.8</v>
      </c>
      <c r="D304" s="32" t="s">
        <v>1549</v>
      </c>
      <c r="E304" s="184"/>
      <c r="F304" s="181"/>
      <c r="G304" s="181"/>
      <c r="H304" s="181"/>
      <c r="I304" s="181"/>
      <c r="J304" s="181"/>
      <c r="K304" s="181"/>
      <c r="L304" s="181"/>
      <c r="M304" s="181"/>
      <c r="N304" s="181"/>
      <c r="O304" s="181"/>
      <c r="P304" s="181"/>
      <c r="Q304" s="181"/>
      <c r="R304" s="181"/>
      <c r="S304" s="181"/>
      <c r="T304" s="181"/>
      <c r="U304" s="181"/>
      <c r="V304" s="181"/>
      <c r="W304" s="181"/>
      <c r="X304" s="181"/>
      <c r="Y304" s="6"/>
      <c r="Z304" s="6"/>
    </row>
    <row r="305" ht="48.0" customHeight="1">
      <c r="A305" s="51" t="str">
        <f>'HECVAT - Full'!A305</f>
        <v>PCID-05</v>
      </c>
      <c r="B305" s="62" t="str">
        <f>VLOOKUP(A305,'HECVAT - Full'!A$24:B$312,2,FALSE)</f>
        <v>Are you on the list of VISA approved service providers? </v>
      </c>
      <c r="C305" s="98">
        <v>12.8</v>
      </c>
      <c r="D305" s="32" t="s">
        <v>1549</v>
      </c>
      <c r="E305" s="184"/>
      <c r="F305" s="181"/>
      <c r="G305" s="181"/>
      <c r="H305" s="181"/>
      <c r="I305" s="181"/>
      <c r="J305" s="181"/>
      <c r="K305" s="181"/>
      <c r="L305" s="181"/>
      <c r="M305" s="181"/>
      <c r="N305" s="181"/>
      <c r="O305" s="181"/>
      <c r="P305" s="181"/>
      <c r="Q305" s="181"/>
      <c r="R305" s="181"/>
      <c r="S305" s="181"/>
      <c r="T305" s="181"/>
      <c r="U305" s="181"/>
      <c r="V305" s="181"/>
      <c r="W305" s="181"/>
      <c r="X305" s="181"/>
      <c r="Y305" s="6"/>
      <c r="Z305" s="6"/>
    </row>
    <row r="306" ht="48.0" customHeight="1">
      <c r="A306" s="51" t="str">
        <f>'HECVAT - Full'!A306</f>
        <v>PCID-06</v>
      </c>
      <c r="B306" s="62" t="str">
        <f>VLOOKUP(A306,'HECVAT - Full'!A$24:B$312,2,FALSE)</f>
        <v>Are you classified as a merchant?  If so, what level (1, 2, 3, 4)?</v>
      </c>
      <c r="C306" s="98">
        <v>12.8</v>
      </c>
      <c r="D306" s="32" t="s">
        <v>1549</v>
      </c>
      <c r="E306" s="184"/>
      <c r="F306" s="181"/>
      <c r="G306" s="181"/>
      <c r="H306" s="181"/>
      <c r="I306" s="181"/>
      <c r="J306" s="181"/>
      <c r="K306" s="181"/>
      <c r="L306" s="181"/>
      <c r="M306" s="181"/>
      <c r="N306" s="181"/>
      <c r="O306" s="181"/>
      <c r="P306" s="181"/>
      <c r="Q306" s="181"/>
      <c r="R306" s="181"/>
      <c r="S306" s="181"/>
      <c r="T306" s="181"/>
      <c r="U306" s="181"/>
      <c r="V306" s="181"/>
      <c r="W306" s="181"/>
      <c r="X306" s="181"/>
      <c r="Y306" s="6"/>
      <c r="Z306" s="6"/>
    </row>
    <row r="307" ht="63.75" customHeight="1">
      <c r="A307" s="51" t="str">
        <f>'HECVAT - Full'!A307</f>
        <v>PCID-07</v>
      </c>
      <c r="B307" s="62" t="str">
        <f>VLOOKUP(A307,'HECVAT - Full'!A$24:B$312,2,FALSE)</f>
        <v>Describe the architecture employed by the system to verify and authorize credit card transactions.</v>
      </c>
      <c r="C307" s="32" t="s">
        <v>824</v>
      </c>
      <c r="D307" s="32" t="s">
        <v>1549</v>
      </c>
      <c r="E307" s="184"/>
      <c r="F307" s="181"/>
      <c r="G307" s="181"/>
      <c r="H307" s="181"/>
      <c r="I307" s="181"/>
      <c r="J307" s="181"/>
      <c r="K307" s="181"/>
      <c r="L307" s="181"/>
      <c r="M307" s="181"/>
      <c r="N307" s="181"/>
      <c r="O307" s="181"/>
      <c r="P307" s="181"/>
      <c r="Q307" s="181"/>
      <c r="R307" s="181"/>
      <c r="S307" s="181"/>
      <c r="T307" s="181"/>
      <c r="U307" s="181"/>
      <c r="V307" s="181"/>
      <c r="W307" s="181"/>
      <c r="X307" s="181"/>
      <c r="Y307" s="6"/>
      <c r="Z307" s="6"/>
    </row>
    <row r="308" ht="63.75" customHeight="1">
      <c r="A308" s="51" t="str">
        <f>'HECVAT - Full'!A308</f>
        <v>PCID-08</v>
      </c>
      <c r="B308" s="62" t="str">
        <f>VLOOKUP(A308,'HECVAT - Full'!A$24:B$312,2,FALSE)</f>
        <v>What payment processors/gateways does the system support? </v>
      </c>
      <c r="C308" s="98">
        <v>12.8</v>
      </c>
      <c r="D308" s="32" t="s">
        <v>1549</v>
      </c>
      <c r="E308" s="184"/>
      <c r="F308" s="181"/>
      <c r="G308" s="181"/>
      <c r="H308" s="181"/>
      <c r="I308" s="181"/>
      <c r="J308" s="181"/>
      <c r="K308" s="181"/>
      <c r="L308" s="181"/>
      <c r="M308" s="181"/>
      <c r="N308" s="181"/>
      <c r="O308" s="181"/>
      <c r="P308" s="181"/>
      <c r="Q308" s="181"/>
      <c r="R308" s="181"/>
      <c r="S308" s="181"/>
      <c r="T308" s="181"/>
      <c r="U308" s="181"/>
      <c r="V308" s="181"/>
      <c r="W308" s="181"/>
      <c r="X308" s="181"/>
      <c r="Y308" s="6"/>
      <c r="Z308" s="6"/>
    </row>
    <row r="309" ht="48.0" customHeight="1">
      <c r="A309" s="51" t="str">
        <f>'HECVAT - Full'!A309</f>
        <v>PCID-09</v>
      </c>
      <c r="B309" s="62" t="str">
        <f>VLOOKUP(A309,'HECVAT - Full'!A$24:B$312,2,FALSE)</f>
        <v>Can the application be installed in a PCI DSS compliant manner ?</v>
      </c>
      <c r="C309" s="98">
        <v>12.8</v>
      </c>
      <c r="D309" s="32" t="s">
        <v>1549</v>
      </c>
      <c r="E309" s="184"/>
      <c r="F309" s="181"/>
      <c r="G309" s="181"/>
      <c r="H309" s="181"/>
      <c r="I309" s="181"/>
      <c r="J309" s="181"/>
      <c r="K309" s="181"/>
      <c r="L309" s="181"/>
      <c r="M309" s="181"/>
      <c r="N309" s="181"/>
      <c r="O309" s="181"/>
      <c r="P309" s="181"/>
      <c r="Q309" s="181"/>
      <c r="R309" s="181"/>
      <c r="S309" s="181"/>
      <c r="T309" s="181"/>
      <c r="U309" s="181"/>
      <c r="V309" s="181"/>
      <c r="W309" s="181"/>
      <c r="X309" s="181"/>
      <c r="Y309" s="6"/>
      <c r="Z309" s="6"/>
    </row>
    <row r="310" ht="48.0" customHeight="1">
      <c r="A310" s="51" t="str">
        <f>'HECVAT - Full'!A310</f>
        <v>PCID-10</v>
      </c>
      <c r="B310" s="62" t="str">
        <f>VLOOKUP(A310,'HECVAT - Full'!A$24:B$312,2,FALSE)</f>
        <v>Is the application listed as an approved PA-DSS application? </v>
      </c>
      <c r="C310" s="98">
        <v>12.8</v>
      </c>
      <c r="D310" s="32" t="s">
        <v>1549</v>
      </c>
      <c r="E310" s="184"/>
      <c r="F310" s="181"/>
      <c r="G310" s="181"/>
      <c r="H310" s="181"/>
      <c r="I310" s="181"/>
      <c r="J310" s="181"/>
      <c r="K310" s="181"/>
      <c r="L310" s="181"/>
      <c r="M310" s="181"/>
      <c r="N310" s="181"/>
      <c r="O310" s="181"/>
      <c r="P310" s="181"/>
      <c r="Q310" s="181"/>
      <c r="R310" s="181"/>
      <c r="S310" s="181"/>
      <c r="T310" s="181"/>
      <c r="U310" s="181"/>
      <c r="V310" s="181"/>
      <c r="W310" s="181"/>
      <c r="X310" s="181"/>
      <c r="Y310" s="6"/>
      <c r="Z310" s="6"/>
    </row>
    <row r="311" ht="54.0" customHeight="1">
      <c r="A311" s="51" t="str">
        <f>'HECVAT - Full'!A311</f>
        <v>PCID-11</v>
      </c>
      <c r="B311" s="62" t="str">
        <f>VLOOKUP(A311,'HECVAT - Full'!A$24:B$312,2,FALSE)</f>
        <v>Does the system or products use a third party to collect, store, process, or transmit cardholder (payment/credit/debt card) data?</v>
      </c>
      <c r="C311" s="98">
        <v>12.8</v>
      </c>
      <c r="D311" s="32" t="s">
        <v>1549</v>
      </c>
      <c r="E311" s="184"/>
      <c r="F311" s="181"/>
      <c r="G311" s="181"/>
      <c r="H311" s="181"/>
      <c r="I311" s="181"/>
      <c r="J311" s="181"/>
      <c r="K311" s="181"/>
      <c r="L311" s="181"/>
      <c r="M311" s="181"/>
      <c r="N311" s="181"/>
      <c r="O311" s="181"/>
      <c r="P311" s="181"/>
      <c r="Q311" s="181"/>
      <c r="R311" s="181"/>
      <c r="S311" s="181"/>
      <c r="T311" s="181"/>
      <c r="U311" s="181"/>
      <c r="V311" s="181"/>
      <c r="W311" s="181"/>
      <c r="X311" s="181"/>
      <c r="Y311" s="6"/>
      <c r="Z311" s="6"/>
    </row>
    <row r="312" ht="63.75" customHeight="1">
      <c r="A312" s="51" t="str">
        <f>'HECVAT - Full'!A312</f>
        <v>PCID-12</v>
      </c>
      <c r="B312" s="62" t="str">
        <f>VLOOKUP(A312,'HECVAT - Full'!A$24:B$312,2,FALSE)</f>
        <v>Include documentation describing the systems' abilities to comply with the PCI DSS and any features or capabilities of the system that must be added or changed in order to operate in compliance with the standards. </v>
      </c>
      <c r="C312" s="98">
        <v>12.8</v>
      </c>
      <c r="D312" s="32" t="s">
        <v>1549</v>
      </c>
      <c r="E312" s="184"/>
      <c r="F312" s="181"/>
      <c r="G312" s="181"/>
      <c r="H312" s="181"/>
      <c r="I312" s="181"/>
      <c r="J312" s="181"/>
      <c r="K312" s="181"/>
      <c r="L312" s="181"/>
      <c r="M312" s="181"/>
      <c r="N312" s="181"/>
      <c r="O312" s="181"/>
      <c r="P312" s="181"/>
      <c r="Q312" s="181"/>
      <c r="R312" s="181"/>
      <c r="S312" s="181"/>
      <c r="T312" s="181"/>
      <c r="U312" s="181"/>
      <c r="V312" s="181"/>
      <c r="W312" s="181"/>
      <c r="X312" s="181"/>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28">
    <mergeCell ref="A1:D1"/>
    <mergeCell ref="A2:D2"/>
    <mergeCell ref="A20:B20"/>
    <mergeCell ref="A21:D21"/>
    <mergeCell ref="A22:B22"/>
    <mergeCell ref="A23:D23"/>
    <mergeCell ref="A31:B31"/>
    <mergeCell ref="A38:B38"/>
    <mergeCell ref="A46:B46"/>
    <mergeCell ref="A51:B51"/>
    <mergeCell ref="A61:B61"/>
    <mergeCell ref="A79:B79"/>
    <mergeCell ref="A97:B97"/>
    <mergeCell ref="A110:B110"/>
    <mergeCell ref="A223:B223"/>
    <mergeCell ref="A244:B244"/>
    <mergeCell ref="A247:B247"/>
    <mergeCell ref="A253:B253"/>
    <mergeCell ref="A258:B258"/>
    <mergeCell ref="A268:B268"/>
    <mergeCell ref="A300:B300"/>
    <mergeCell ref="A126:B126"/>
    <mergeCell ref="A155:B155"/>
    <mergeCell ref="A158:B158"/>
    <mergeCell ref="A178:B178"/>
    <mergeCell ref="A192:B192"/>
    <mergeCell ref="A205:B205"/>
    <mergeCell ref="A217:B217"/>
  </mergeCells>
  <printOptions/>
  <pageMargins bottom="0.75" footer="0.0" header="0.0" left="0.7" right="0.7" top="0.75"/>
  <pageSetup orientation="portrait"/>
  <headerFooter>
    <oddFooter>&amp;C000000&amp;P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4.0"/>
    <col customWidth="1" min="2" max="2" width="8.67"/>
    <col customWidth="1" min="3" max="3" width="36.11"/>
    <col customWidth="1" min="4" max="4" width="14.22"/>
    <col customWidth="1" min="5" max="5" width="11.44"/>
    <col customWidth="1" min="6" max="6" width="8.44"/>
    <col customWidth="1" min="7" max="7" width="13.44"/>
    <col customWidth="1" min="8" max="8" width="24.22"/>
    <col customWidth="1" min="9" max="26" width="8.44"/>
  </cols>
  <sheetData>
    <row r="1" ht="36.0" customHeight="1">
      <c r="A1" s="248" t="s">
        <v>1550</v>
      </c>
      <c r="B1" s="40"/>
      <c r="C1" s="40"/>
      <c r="D1" s="40"/>
      <c r="E1" s="40"/>
      <c r="F1" s="40"/>
      <c r="G1" s="152"/>
      <c r="H1" s="249" t="str">
        <f>'HECVAT - Full'!E1</f>
        <v>Version 2.11</v>
      </c>
      <c r="I1" s="6"/>
      <c r="J1" s="6"/>
      <c r="K1" s="6"/>
      <c r="L1" s="6"/>
      <c r="M1" s="6"/>
      <c r="N1" s="6"/>
      <c r="O1" s="6"/>
      <c r="P1" s="6"/>
      <c r="Q1" s="6"/>
      <c r="R1" s="6"/>
      <c r="S1" s="6"/>
      <c r="T1" s="6"/>
      <c r="U1" s="6"/>
      <c r="V1" s="6"/>
      <c r="W1" s="6"/>
      <c r="X1" s="6"/>
      <c r="Y1" s="6"/>
      <c r="Z1" s="6"/>
    </row>
    <row r="2" ht="25.5" customHeight="1">
      <c r="A2" s="250"/>
      <c r="B2" s="40"/>
      <c r="C2" s="40"/>
      <c r="D2" s="40"/>
      <c r="E2" s="40"/>
      <c r="F2" s="40"/>
      <c r="G2" s="40"/>
      <c r="H2" s="14"/>
      <c r="I2" s="6"/>
      <c r="J2" s="6"/>
      <c r="K2" s="6"/>
      <c r="L2" s="6"/>
      <c r="M2" s="6"/>
      <c r="N2" s="6"/>
      <c r="O2" s="6"/>
      <c r="P2" s="6"/>
      <c r="Q2" s="6"/>
      <c r="R2" s="6"/>
      <c r="S2" s="6"/>
      <c r="T2" s="6"/>
      <c r="U2" s="6"/>
      <c r="V2" s="6"/>
      <c r="W2" s="6"/>
      <c r="X2" s="6"/>
      <c r="Y2" s="6"/>
      <c r="Z2" s="6"/>
    </row>
    <row r="3" ht="36.0" customHeight="1">
      <c r="A3" s="251" t="s">
        <v>1551</v>
      </c>
      <c r="B3" s="164" t="str">
        <f>'HECVAT - Full'!C7</f>
        <v>GATHERACT LLC</v>
      </c>
      <c r="C3" s="14"/>
      <c r="D3" s="251" t="s">
        <v>1552</v>
      </c>
      <c r="E3" s="164" t="str">
        <f>'HECVAT - Full'!C8</f>
        <v>LTIAAS</v>
      </c>
      <c r="F3" s="40"/>
      <c r="G3" s="40"/>
      <c r="H3" s="14"/>
      <c r="I3" s="6"/>
      <c r="J3" s="6"/>
      <c r="K3" s="6"/>
      <c r="L3" s="6"/>
      <c r="M3" s="6"/>
      <c r="N3" s="6"/>
      <c r="O3" s="6"/>
      <c r="P3" s="6"/>
      <c r="Q3" s="6"/>
      <c r="R3" s="6"/>
      <c r="S3" s="6"/>
      <c r="T3" s="6"/>
      <c r="U3" s="6"/>
      <c r="V3" s="6"/>
      <c r="W3" s="6"/>
      <c r="X3" s="6"/>
      <c r="Y3" s="6"/>
      <c r="Z3" s="6"/>
    </row>
    <row r="4" ht="48.0" customHeight="1">
      <c r="A4" s="160" t="s">
        <v>1553</v>
      </c>
      <c r="B4" s="163" t="str">
        <f>'HECVAT - Full'!C9</f>
        <v>A cloud-hosted API service enabling the LTI protocols</v>
      </c>
      <c r="C4" s="40"/>
      <c r="D4" s="40"/>
      <c r="E4" s="40"/>
      <c r="F4" s="40"/>
      <c r="G4" s="40"/>
      <c r="H4" s="14"/>
      <c r="I4" s="6"/>
      <c r="J4" s="6"/>
      <c r="K4" s="6"/>
      <c r="L4" s="6"/>
      <c r="M4" s="6"/>
      <c r="N4" s="6"/>
      <c r="O4" s="6"/>
      <c r="P4" s="6"/>
      <c r="Q4" s="6"/>
      <c r="R4" s="6"/>
      <c r="S4" s="6"/>
      <c r="T4" s="6"/>
      <c r="U4" s="6"/>
      <c r="V4" s="6"/>
      <c r="W4" s="6"/>
      <c r="X4" s="6"/>
      <c r="Y4" s="6"/>
      <c r="Z4" s="6"/>
    </row>
    <row r="5" ht="36.0" customHeight="1">
      <c r="A5" s="252"/>
      <c r="B5" s="253"/>
      <c r="C5" s="254"/>
      <c r="D5" s="255" t="s">
        <v>1554</v>
      </c>
      <c r="E5" s="14"/>
      <c r="F5" s="252"/>
      <c r="G5" s="253"/>
      <c r="H5" s="254"/>
      <c r="I5" s="6"/>
      <c r="J5" s="6"/>
      <c r="K5" s="6"/>
      <c r="L5" s="6"/>
      <c r="M5" s="6"/>
      <c r="N5" s="6"/>
      <c r="O5" s="6"/>
      <c r="P5" s="6"/>
      <c r="Q5" s="6"/>
      <c r="R5" s="6"/>
      <c r="S5" s="6"/>
      <c r="T5" s="6"/>
      <c r="U5" s="6"/>
      <c r="V5" s="6"/>
      <c r="W5" s="6"/>
      <c r="X5" s="6"/>
      <c r="Y5" s="6"/>
      <c r="Z5" s="6"/>
    </row>
    <row r="6" ht="36.0" customHeight="1">
      <c r="A6" s="256"/>
      <c r="B6" s="257"/>
      <c r="C6" s="258"/>
      <c r="D6" s="259">
        <f>Questions!W23</f>
        <v>0.6454968479</v>
      </c>
      <c r="E6" s="260" t="str">
        <f>Questions!X23</f>
        <v>D</v>
      </c>
      <c r="F6" s="256"/>
      <c r="G6" s="257"/>
      <c r="H6" s="258"/>
      <c r="I6" s="6"/>
      <c r="J6" s="6"/>
      <c r="K6" s="6"/>
      <c r="L6" s="6"/>
      <c r="M6" s="6"/>
      <c r="N6" s="6"/>
      <c r="O6" s="6"/>
      <c r="P6" s="6"/>
      <c r="Q6" s="6"/>
      <c r="R6" s="6"/>
      <c r="S6" s="6"/>
      <c r="T6" s="6"/>
      <c r="U6" s="6"/>
      <c r="V6" s="6"/>
      <c r="W6" s="6"/>
      <c r="X6" s="6"/>
      <c r="Y6" s="6"/>
      <c r="Z6" s="6"/>
    </row>
    <row r="7" ht="18.0" customHeight="1">
      <c r="A7" s="184"/>
      <c r="B7" s="181"/>
      <c r="C7" s="181"/>
      <c r="D7" s="180"/>
      <c r="E7" s="180"/>
      <c r="F7" s="181"/>
      <c r="G7" s="181"/>
      <c r="H7" s="182"/>
      <c r="I7" s="6"/>
      <c r="J7" s="6"/>
      <c r="K7" s="6"/>
      <c r="L7" s="6"/>
      <c r="M7" s="6"/>
      <c r="N7" s="6"/>
      <c r="O7" s="6"/>
      <c r="P7" s="6"/>
      <c r="Q7" s="6"/>
      <c r="R7" s="6"/>
      <c r="S7" s="6"/>
      <c r="T7" s="6"/>
      <c r="U7" s="6"/>
      <c r="V7" s="6"/>
      <c r="W7" s="6"/>
      <c r="X7" s="6"/>
      <c r="Y7" s="6"/>
      <c r="Z7" s="6"/>
    </row>
    <row r="8" ht="18.0" customHeight="1">
      <c r="A8" s="184"/>
      <c r="B8" s="181"/>
      <c r="C8" s="181"/>
      <c r="D8" s="181"/>
      <c r="E8" s="181"/>
      <c r="F8" s="181"/>
      <c r="G8" s="181"/>
      <c r="H8" s="182"/>
      <c r="I8" s="6"/>
      <c r="J8" s="6"/>
      <c r="K8" s="6"/>
      <c r="L8" s="6"/>
      <c r="M8" s="6"/>
      <c r="N8" s="6"/>
      <c r="O8" s="6"/>
      <c r="P8" s="6"/>
      <c r="Q8" s="6"/>
      <c r="R8" s="6"/>
      <c r="S8" s="6"/>
      <c r="T8" s="6"/>
      <c r="U8" s="6"/>
      <c r="V8" s="6"/>
      <c r="W8" s="6"/>
      <c r="X8" s="6"/>
      <c r="Y8" s="6"/>
      <c r="Z8" s="6"/>
    </row>
    <row r="9" ht="18.0" customHeight="1">
      <c r="A9" s="184"/>
      <c r="B9" s="181"/>
      <c r="C9" s="181"/>
      <c r="D9" s="181"/>
      <c r="E9" s="181"/>
      <c r="F9" s="181"/>
      <c r="G9" s="181"/>
      <c r="H9" s="182"/>
      <c r="I9" s="6"/>
      <c r="J9" s="6"/>
      <c r="K9" s="6"/>
      <c r="L9" s="6"/>
      <c r="M9" s="6"/>
      <c r="N9" s="6"/>
      <c r="O9" s="6"/>
      <c r="P9" s="6"/>
      <c r="Q9" s="6"/>
      <c r="R9" s="6"/>
      <c r="S9" s="6"/>
      <c r="T9" s="6"/>
      <c r="U9" s="6"/>
      <c r="V9" s="6"/>
      <c r="W9" s="6"/>
      <c r="X9" s="6"/>
      <c r="Y9" s="6"/>
      <c r="Z9" s="6"/>
    </row>
    <row r="10" ht="18.0" customHeight="1">
      <c r="A10" s="184"/>
      <c r="B10" s="181"/>
      <c r="C10" s="181"/>
      <c r="D10" s="181"/>
      <c r="E10" s="181"/>
      <c r="F10" s="181"/>
      <c r="G10" s="181"/>
      <c r="H10" s="182"/>
      <c r="I10" s="6"/>
      <c r="J10" s="6"/>
      <c r="K10" s="6"/>
      <c r="L10" s="6"/>
      <c r="M10" s="6"/>
      <c r="N10" s="6"/>
      <c r="O10" s="6"/>
      <c r="P10" s="6"/>
      <c r="Q10" s="6"/>
      <c r="R10" s="6"/>
      <c r="S10" s="6"/>
      <c r="T10" s="6"/>
      <c r="U10" s="6"/>
      <c r="V10" s="6"/>
      <c r="W10" s="6"/>
      <c r="X10" s="6"/>
      <c r="Y10" s="6"/>
      <c r="Z10" s="6"/>
    </row>
    <row r="11" ht="18.0" customHeight="1">
      <c r="A11" s="184"/>
      <c r="B11" s="181"/>
      <c r="C11" s="181"/>
      <c r="D11" s="181"/>
      <c r="E11" s="181"/>
      <c r="F11" s="181"/>
      <c r="G11" s="181"/>
      <c r="H11" s="182"/>
      <c r="I11" s="6"/>
      <c r="J11" s="6"/>
      <c r="K11" s="6"/>
      <c r="L11" s="6"/>
      <c r="M11" s="6"/>
      <c r="N11" s="6"/>
      <c r="O11" s="6"/>
      <c r="P11" s="6"/>
      <c r="Q11" s="6"/>
      <c r="R11" s="6"/>
      <c r="S11" s="6"/>
      <c r="T11" s="6"/>
      <c r="U11" s="6"/>
      <c r="V11" s="6"/>
      <c r="W11" s="6"/>
      <c r="X11" s="6"/>
      <c r="Y11" s="6"/>
      <c r="Z11" s="6"/>
    </row>
    <row r="12" ht="18.0" customHeight="1">
      <c r="A12" s="184"/>
      <c r="B12" s="181"/>
      <c r="C12" s="181"/>
      <c r="D12" s="181"/>
      <c r="E12" s="181"/>
      <c r="F12" s="181"/>
      <c r="G12" s="181"/>
      <c r="H12" s="182"/>
      <c r="I12" s="6"/>
      <c r="J12" s="6"/>
      <c r="K12" s="6"/>
      <c r="L12" s="6"/>
      <c r="M12" s="6"/>
      <c r="N12" s="6"/>
      <c r="O12" s="6"/>
      <c r="P12" s="6"/>
      <c r="Q12" s="6"/>
      <c r="R12" s="6"/>
      <c r="S12" s="6"/>
      <c r="T12" s="6"/>
      <c r="U12" s="6"/>
      <c r="V12" s="6"/>
      <c r="W12" s="6"/>
      <c r="X12" s="6"/>
      <c r="Y12" s="6"/>
      <c r="Z12" s="6"/>
    </row>
    <row r="13" ht="18.0" customHeight="1">
      <c r="A13" s="184"/>
      <c r="B13" s="181"/>
      <c r="C13" s="181"/>
      <c r="D13" s="181"/>
      <c r="E13" s="181"/>
      <c r="F13" s="181"/>
      <c r="G13" s="181"/>
      <c r="H13" s="182"/>
      <c r="I13" s="6"/>
      <c r="J13" s="6"/>
      <c r="K13" s="6"/>
      <c r="L13" s="6"/>
      <c r="M13" s="6"/>
      <c r="N13" s="6"/>
      <c r="O13" s="6"/>
      <c r="P13" s="6"/>
      <c r="Q13" s="6"/>
      <c r="R13" s="6"/>
      <c r="S13" s="6"/>
      <c r="T13" s="6"/>
      <c r="U13" s="6"/>
      <c r="V13" s="6"/>
      <c r="W13" s="6"/>
      <c r="X13" s="6"/>
      <c r="Y13" s="6"/>
      <c r="Z13" s="6"/>
    </row>
    <row r="14" ht="18.0" customHeight="1">
      <c r="A14" s="184"/>
      <c r="B14" s="181"/>
      <c r="C14" s="181"/>
      <c r="D14" s="181"/>
      <c r="E14" s="181"/>
      <c r="F14" s="181"/>
      <c r="G14" s="181"/>
      <c r="H14" s="182"/>
      <c r="I14" s="6"/>
      <c r="J14" s="6"/>
      <c r="K14" s="6"/>
      <c r="L14" s="6"/>
      <c r="M14" s="6"/>
      <c r="N14" s="6"/>
      <c r="O14" s="6"/>
      <c r="P14" s="6"/>
      <c r="Q14" s="6"/>
      <c r="R14" s="6"/>
      <c r="S14" s="6"/>
      <c r="T14" s="6"/>
      <c r="U14" s="6"/>
      <c r="V14" s="6"/>
      <c r="W14" s="6"/>
      <c r="X14" s="6"/>
      <c r="Y14" s="6"/>
      <c r="Z14" s="6"/>
    </row>
    <row r="15" ht="18.0" customHeight="1">
      <c r="A15" s="184"/>
      <c r="B15" s="181"/>
      <c r="C15" s="181"/>
      <c r="D15" s="181"/>
      <c r="E15" s="181"/>
      <c r="F15" s="181"/>
      <c r="G15" s="181"/>
      <c r="H15" s="182"/>
      <c r="I15" s="6"/>
      <c r="J15" s="6"/>
      <c r="K15" s="6"/>
      <c r="L15" s="6"/>
      <c r="M15" s="6"/>
      <c r="N15" s="6"/>
      <c r="O15" s="6"/>
      <c r="P15" s="6"/>
      <c r="Q15" s="6"/>
      <c r="R15" s="6"/>
      <c r="S15" s="6"/>
      <c r="T15" s="6"/>
      <c r="U15" s="6"/>
      <c r="V15" s="6"/>
      <c r="W15" s="6"/>
      <c r="X15" s="6"/>
      <c r="Y15" s="6"/>
      <c r="Z15" s="6"/>
    </row>
    <row r="16" ht="18.0" customHeight="1">
      <c r="A16" s="184"/>
      <c r="B16" s="181"/>
      <c r="C16" s="181"/>
      <c r="D16" s="181"/>
      <c r="E16" s="181"/>
      <c r="F16" s="181"/>
      <c r="G16" s="181"/>
      <c r="H16" s="182"/>
      <c r="I16" s="6"/>
      <c r="J16" s="6"/>
      <c r="K16" s="6"/>
      <c r="L16" s="6"/>
      <c r="M16" s="6"/>
      <c r="N16" s="6"/>
      <c r="O16" s="6"/>
      <c r="P16" s="6"/>
      <c r="Q16" s="6"/>
      <c r="R16" s="6"/>
      <c r="S16" s="6"/>
      <c r="T16" s="6"/>
      <c r="U16" s="6"/>
      <c r="V16" s="6"/>
      <c r="W16" s="6"/>
      <c r="X16" s="6"/>
      <c r="Y16" s="6"/>
      <c r="Z16" s="6"/>
    </row>
    <row r="17" ht="18.0" customHeight="1">
      <c r="A17" s="184"/>
      <c r="B17" s="181"/>
      <c r="C17" s="181"/>
      <c r="D17" s="181"/>
      <c r="E17" s="181"/>
      <c r="F17" s="181"/>
      <c r="G17" s="181"/>
      <c r="H17" s="182"/>
      <c r="I17" s="6"/>
      <c r="J17" s="6"/>
      <c r="K17" s="6"/>
      <c r="L17" s="6"/>
      <c r="M17" s="6"/>
      <c r="N17" s="6"/>
      <c r="O17" s="6"/>
      <c r="P17" s="6"/>
      <c r="Q17" s="6"/>
      <c r="R17" s="6"/>
      <c r="S17" s="6"/>
      <c r="T17" s="6"/>
      <c r="U17" s="6"/>
      <c r="V17" s="6"/>
      <c r="W17" s="6"/>
      <c r="X17" s="6"/>
      <c r="Y17" s="6"/>
      <c r="Z17" s="6"/>
    </row>
    <row r="18" ht="18.0" customHeight="1">
      <c r="A18" s="184"/>
      <c r="B18" s="181"/>
      <c r="C18" s="181"/>
      <c r="D18" s="181"/>
      <c r="E18" s="181"/>
      <c r="F18" s="181"/>
      <c r="G18" s="181"/>
      <c r="H18" s="182"/>
      <c r="I18" s="6"/>
      <c r="J18" s="6"/>
      <c r="K18" s="6"/>
      <c r="L18" s="6"/>
      <c r="M18" s="6"/>
      <c r="N18" s="6"/>
      <c r="O18" s="6"/>
      <c r="P18" s="6"/>
      <c r="Q18" s="6"/>
      <c r="R18" s="6"/>
      <c r="S18" s="6"/>
      <c r="T18" s="6"/>
      <c r="U18" s="6"/>
      <c r="V18" s="6"/>
      <c r="W18" s="6"/>
      <c r="X18" s="6"/>
      <c r="Y18" s="6"/>
      <c r="Z18" s="6"/>
    </row>
    <row r="19" ht="18.0" customHeight="1">
      <c r="A19" s="184"/>
      <c r="B19" s="181"/>
      <c r="C19" s="181"/>
      <c r="D19" s="181"/>
      <c r="E19" s="181"/>
      <c r="F19" s="181"/>
      <c r="G19" s="181"/>
      <c r="H19" s="182"/>
      <c r="I19" s="6"/>
      <c r="J19" s="6"/>
      <c r="K19" s="6"/>
      <c r="L19" s="6"/>
      <c r="M19" s="6"/>
      <c r="N19" s="6"/>
      <c r="O19" s="6"/>
      <c r="P19" s="6"/>
      <c r="Q19" s="6"/>
      <c r="R19" s="6"/>
      <c r="S19" s="6"/>
      <c r="T19" s="6"/>
      <c r="U19" s="6"/>
      <c r="V19" s="6"/>
      <c r="W19" s="6"/>
      <c r="X19" s="6"/>
      <c r="Y19" s="6"/>
      <c r="Z19" s="6"/>
    </row>
    <row r="20" ht="18.0" customHeight="1">
      <c r="A20" s="184"/>
      <c r="B20" s="181"/>
      <c r="C20" s="181"/>
      <c r="D20" s="181"/>
      <c r="E20" s="181"/>
      <c r="F20" s="181"/>
      <c r="G20" s="181"/>
      <c r="H20" s="182"/>
      <c r="I20" s="6"/>
      <c r="J20" s="6"/>
      <c r="K20" s="6"/>
      <c r="L20" s="6"/>
      <c r="M20" s="6"/>
      <c r="N20" s="6"/>
      <c r="O20" s="6"/>
      <c r="P20" s="6"/>
      <c r="Q20" s="6"/>
      <c r="R20" s="6"/>
      <c r="S20" s="6"/>
      <c r="T20" s="6"/>
      <c r="U20" s="6"/>
      <c r="V20" s="6"/>
      <c r="W20" s="6"/>
      <c r="X20" s="6"/>
      <c r="Y20" s="6"/>
      <c r="Z20" s="6"/>
    </row>
    <row r="21" ht="18.0" customHeight="1">
      <c r="A21" s="184"/>
      <c r="B21" s="181"/>
      <c r="C21" s="181"/>
      <c r="D21" s="181"/>
      <c r="E21" s="181"/>
      <c r="F21" s="181"/>
      <c r="G21" s="181"/>
      <c r="H21" s="182"/>
      <c r="I21" s="6"/>
      <c r="J21" s="6"/>
      <c r="K21" s="6"/>
      <c r="L21" s="6"/>
      <c r="M21" s="6"/>
      <c r="N21" s="6"/>
      <c r="O21" s="6"/>
      <c r="P21" s="6"/>
      <c r="Q21" s="6"/>
      <c r="R21" s="6"/>
      <c r="S21" s="6"/>
      <c r="T21" s="6"/>
      <c r="U21" s="6"/>
      <c r="V21" s="6"/>
      <c r="W21" s="6"/>
      <c r="X21" s="6"/>
      <c r="Y21" s="6"/>
      <c r="Z21" s="6"/>
    </row>
    <row r="22" ht="18.0" customHeight="1">
      <c r="A22" s="184"/>
      <c r="B22" s="181"/>
      <c r="C22" s="181"/>
      <c r="D22" s="181"/>
      <c r="E22" s="181"/>
      <c r="F22" s="181"/>
      <c r="G22" s="181"/>
      <c r="H22" s="182"/>
      <c r="I22" s="6"/>
      <c r="J22" s="6"/>
      <c r="K22" s="6"/>
      <c r="L22" s="6"/>
      <c r="M22" s="6"/>
      <c r="N22" s="6"/>
      <c r="O22" s="6"/>
      <c r="P22" s="6"/>
      <c r="Q22" s="6"/>
      <c r="R22" s="6"/>
      <c r="S22" s="6"/>
      <c r="T22" s="6"/>
      <c r="U22" s="6"/>
      <c r="V22" s="6"/>
      <c r="W22" s="6"/>
      <c r="X22" s="6"/>
      <c r="Y22" s="6"/>
      <c r="Z22" s="6"/>
    </row>
    <row r="23" ht="18.0" customHeight="1">
      <c r="A23" s="184"/>
      <c r="B23" s="181"/>
      <c r="C23" s="181"/>
      <c r="D23" s="181"/>
      <c r="E23" s="181"/>
      <c r="F23" s="181"/>
      <c r="G23" s="181"/>
      <c r="H23" s="182"/>
      <c r="I23" s="6"/>
      <c r="J23" s="6"/>
      <c r="K23" s="6"/>
      <c r="L23" s="6"/>
      <c r="M23" s="6"/>
      <c r="N23" s="6"/>
      <c r="O23" s="6"/>
      <c r="P23" s="6"/>
      <c r="Q23" s="6"/>
      <c r="R23" s="6"/>
      <c r="S23" s="6"/>
      <c r="T23" s="6"/>
      <c r="U23" s="6"/>
      <c r="V23" s="6"/>
      <c r="W23" s="6"/>
      <c r="X23" s="6"/>
      <c r="Y23" s="6"/>
      <c r="Z23" s="6"/>
    </row>
    <row r="24" ht="18.0" customHeight="1">
      <c r="A24" s="184"/>
      <c r="B24" s="181"/>
      <c r="C24" s="181"/>
      <c r="D24" s="181"/>
      <c r="E24" s="181"/>
      <c r="F24" s="181"/>
      <c r="G24" s="181"/>
      <c r="H24" s="182"/>
      <c r="I24" s="6"/>
      <c r="J24" s="6"/>
      <c r="K24" s="6"/>
      <c r="L24" s="6"/>
      <c r="M24" s="6"/>
      <c r="N24" s="6"/>
      <c r="O24" s="6"/>
      <c r="P24" s="6"/>
      <c r="Q24" s="6"/>
      <c r="R24" s="6"/>
      <c r="S24" s="6"/>
      <c r="T24" s="6"/>
      <c r="U24" s="6"/>
      <c r="V24" s="6"/>
      <c r="W24" s="6"/>
      <c r="X24" s="6"/>
      <c r="Y24" s="6"/>
      <c r="Z24" s="6"/>
    </row>
    <row r="25" ht="18.0" customHeight="1">
      <c r="A25" s="184"/>
      <c r="B25" s="181"/>
      <c r="C25" s="181"/>
      <c r="D25" s="181"/>
      <c r="E25" s="181"/>
      <c r="F25" s="181"/>
      <c r="G25" s="181"/>
      <c r="H25" s="182"/>
      <c r="I25" s="6"/>
      <c r="J25" s="6"/>
      <c r="K25" s="6"/>
      <c r="L25" s="6"/>
      <c r="M25" s="6"/>
      <c r="N25" s="6"/>
      <c r="O25" s="6"/>
      <c r="P25" s="6"/>
      <c r="Q25" s="6"/>
      <c r="R25" s="6"/>
      <c r="S25" s="6"/>
      <c r="T25" s="6"/>
      <c r="U25" s="6"/>
      <c r="V25" s="6"/>
      <c r="W25" s="6"/>
      <c r="X25" s="6"/>
      <c r="Y25" s="6"/>
      <c r="Z25" s="6"/>
    </row>
    <row r="26" ht="18.0" customHeight="1">
      <c r="A26" s="184"/>
      <c r="B26" s="181"/>
      <c r="C26" s="181"/>
      <c r="D26" s="181"/>
      <c r="E26" s="181"/>
      <c r="F26" s="181"/>
      <c r="G26" s="181"/>
      <c r="H26" s="182"/>
      <c r="I26" s="6"/>
      <c r="J26" s="6"/>
      <c r="K26" s="6"/>
      <c r="L26" s="6"/>
      <c r="M26" s="6"/>
      <c r="N26" s="6"/>
      <c r="O26" s="6"/>
      <c r="P26" s="6"/>
      <c r="Q26" s="6"/>
      <c r="R26" s="6"/>
      <c r="S26" s="6"/>
      <c r="T26" s="6"/>
      <c r="U26" s="6"/>
      <c r="V26" s="6"/>
      <c r="W26" s="6"/>
      <c r="X26" s="6"/>
      <c r="Y26" s="6"/>
      <c r="Z26" s="6"/>
    </row>
    <row r="27" ht="18.0" customHeight="1">
      <c r="A27" s="184"/>
      <c r="B27" s="181"/>
      <c r="C27" s="181"/>
      <c r="D27" s="181"/>
      <c r="E27" s="181"/>
      <c r="F27" s="181"/>
      <c r="G27" s="181"/>
      <c r="H27" s="182"/>
      <c r="I27" s="6"/>
      <c r="J27" s="6"/>
      <c r="K27" s="6"/>
      <c r="L27" s="6"/>
      <c r="M27" s="6"/>
      <c r="N27" s="6"/>
      <c r="O27" s="6"/>
      <c r="P27" s="6"/>
      <c r="Q27" s="6"/>
      <c r="R27" s="6"/>
      <c r="S27" s="6"/>
      <c r="T27" s="6"/>
      <c r="U27" s="6"/>
      <c r="V27" s="6"/>
      <c r="W27" s="6"/>
      <c r="X27" s="6"/>
      <c r="Y27" s="6"/>
      <c r="Z27" s="6"/>
    </row>
    <row r="28" ht="18.0" customHeight="1">
      <c r="A28" s="184"/>
      <c r="B28" s="181"/>
      <c r="C28" s="181"/>
      <c r="D28" s="181"/>
      <c r="E28" s="181"/>
      <c r="F28" s="181"/>
      <c r="G28" s="181"/>
      <c r="H28" s="182"/>
      <c r="I28" s="6"/>
      <c r="J28" s="6"/>
      <c r="K28" s="6"/>
      <c r="L28" s="6"/>
      <c r="M28" s="6"/>
      <c r="N28" s="6"/>
      <c r="O28" s="6"/>
      <c r="P28" s="6"/>
      <c r="Q28" s="6"/>
      <c r="R28" s="6"/>
      <c r="S28" s="6"/>
      <c r="T28" s="6"/>
      <c r="U28" s="6"/>
      <c r="V28" s="6"/>
      <c r="W28" s="6"/>
      <c r="X28" s="6"/>
      <c r="Y28" s="6"/>
      <c r="Z28" s="6"/>
    </row>
    <row r="29" ht="18.0" customHeight="1">
      <c r="A29" s="184"/>
      <c r="B29" s="181"/>
      <c r="C29" s="181"/>
      <c r="D29" s="181"/>
      <c r="E29" s="181"/>
      <c r="F29" s="181"/>
      <c r="G29" s="181"/>
      <c r="H29" s="182"/>
      <c r="I29" s="6"/>
      <c r="J29" s="6"/>
      <c r="K29" s="6"/>
      <c r="L29" s="6"/>
      <c r="M29" s="6"/>
      <c r="N29" s="6"/>
      <c r="O29" s="6"/>
      <c r="P29" s="6"/>
      <c r="Q29" s="6"/>
      <c r="R29" s="6"/>
      <c r="S29" s="6"/>
      <c r="T29" s="6"/>
      <c r="U29" s="6"/>
      <c r="V29" s="6"/>
      <c r="W29" s="6"/>
      <c r="X29" s="6"/>
      <c r="Y29" s="6"/>
      <c r="Z29" s="6"/>
    </row>
    <row r="30" ht="18.0" customHeight="1">
      <c r="A30" s="184"/>
      <c r="B30" s="181"/>
      <c r="C30" s="181"/>
      <c r="D30" s="181"/>
      <c r="E30" s="181"/>
      <c r="F30" s="181"/>
      <c r="G30" s="181"/>
      <c r="H30" s="182"/>
      <c r="I30" s="6"/>
      <c r="J30" s="6"/>
      <c r="K30" s="6"/>
      <c r="L30" s="6"/>
      <c r="M30" s="6"/>
      <c r="N30" s="6"/>
      <c r="O30" s="6"/>
      <c r="P30" s="6"/>
      <c r="Q30" s="6"/>
      <c r="R30" s="6"/>
      <c r="S30" s="6"/>
      <c r="T30" s="6"/>
      <c r="U30" s="6"/>
      <c r="V30" s="6"/>
      <c r="W30" s="6"/>
      <c r="X30" s="6"/>
      <c r="Y30" s="6"/>
      <c r="Z30" s="6"/>
    </row>
    <row r="31" ht="18.0" customHeight="1">
      <c r="A31" s="184"/>
      <c r="B31" s="181"/>
      <c r="C31" s="181"/>
      <c r="D31" s="181"/>
      <c r="E31" s="181"/>
      <c r="F31" s="181"/>
      <c r="G31" s="181"/>
      <c r="H31" s="182"/>
      <c r="I31" s="6"/>
      <c r="J31" s="6"/>
      <c r="K31" s="6"/>
      <c r="L31" s="6"/>
      <c r="M31" s="6"/>
      <c r="N31" s="6"/>
      <c r="O31" s="6"/>
      <c r="P31" s="6"/>
      <c r="Q31" s="6"/>
      <c r="R31" s="6"/>
      <c r="S31" s="6"/>
      <c r="T31" s="6"/>
      <c r="U31" s="6"/>
      <c r="V31" s="6"/>
      <c r="W31" s="6"/>
      <c r="X31" s="6"/>
      <c r="Y31" s="6"/>
      <c r="Z31" s="6"/>
    </row>
    <row r="32" ht="18.0" customHeight="1">
      <c r="A32" s="184"/>
      <c r="B32" s="181"/>
      <c r="C32" s="181"/>
      <c r="D32" s="181"/>
      <c r="E32" s="181"/>
      <c r="F32" s="181"/>
      <c r="G32" s="181"/>
      <c r="H32" s="182"/>
      <c r="I32" s="6"/>
      <c r="J32" s="6"/>
      <c r="K32" s="6"/>
      <c r="L32" s="6"/>
      <c r="M32" s="6"/>
      <c r="N32" s="6"/>
      <c r="O32" s="6"/>
      <c r="P32" s="6"/>
      <c r="Q32" s="6"/>
      <c r="R32" s="6"/>
      <c r="S32" s="6"/>
      <c r="T32" s="6"/>
      <c r="U32" s="6"/>
      <c r="V32" s="6"/>
      <c r="W32" s="6"/>
      <c r="X32" s="6"/>
      <c r="Y32" s="6"/>
      <c r="Z32" s="6"/>
    </row>
    <row r="33" ht="18.0" customHeight="1">
      <c r="A33" s="184"/>
      <c r="B33" s="181"/>
      <c r="C33" s="181"/>
      <c r="D33" s="181"/>
      <c r="E33" s="181"/>
      <c r="F33" s="181"/>
      <c r="G33" s="181"/>
      <c r="H33" s="182"/>
      <c r="I33" s="6"/>
      <c r="J33" s="6"/>
      <c r="K33" s="6"/>
      <c r="L33" s="6"/>
      <c r="M33" s="6"/>
      <c r="N33" s="6"/>
      <c r="O33" s="6"/>
      <c r="P33" s="6"/>
      <c r="Q33" s="6"/>
      <c r="R33" s="6"/>
      <c r="S33" s="6"/>
      <c r="T33" s="6"/>
      <c r="U33" s="6"/>
      <c r="V33" s="6"/>
      <c r="W33" s="6"/>
      <c r="X33" s="6"/>
      <c r="Y33" s="6"/>
      <c r="Z33" s="6"/>
    </row>
    <row r="34" ht="18.0" customHeight="1">
      <c r="A34" s="184"/>
      <c r="B34" s="181"/>
      <c r="C34" s="181"/>
      <c r="D34" s="181"/>
      <c r="E34" s="181"/>
      <c r="F34" s="181"/>
      <c r="G34" s="181"/>
      <c r="H34" s="182"/>
      <c r="I34" s="6"/>
      <c r="J34" s="6"/>
      <c r="K34" s="6"/>
      <c r="L34" s="6"/>
      <c r="M34" s="6"/>
      <c r="N34" s="6"/>
      <c r="O34" s="6"/>
      <c r="P34" s="6"/>
      <c r="Q34" s="6"/>
      <c r="R34" s="6"/>
      <c r="S34" s="6"/>
      <c r="T34" s="6"/>
      <c r="U34" s="6"/>
      <c r="V34" s="6"/>
      <c r="W34" s="6"/>
      <c r="X34" s="6"/>
      <c r="Y34" s="6"/>
      <c r="Z34" s="6"/>
    </row>
    <row r="35" ht="18.0" customHeight="1">
      <c r="A35" s="184"/>
      <c r="B35" s="181"/>
      <c r="C35" s="181"/>
      <c r="D35" s="181"/>
      <c r="E35" s="181"/>
      <c r="F35" s="181"/>
      <c r="G35" s="181"/>
      <c r="H35" s="182"/>
      <c r="I35" s="6"/>
      <c r="J35" s="6"/>
      <c r="K35" s="6"/>
      <c r="L35" s="6"/>
      <c r="M35" s="6"/>
      <c r="N35" s="6"/>
      <c r="O35" s="6"/>
      <c r="P35" s="6"/>
      <c r="Q35" s="6"/>
      <c r="R35" s="6"/>
      <c r="S35" s="6"/>
      <c r="T35" s="6"/>
      <c r="U35" s="6"/>
      <c r="V35" s="6"/>
      <c r="W35" s="6"/>
      <c r="X35" s="6"/>
      <c r="Y35" s="6"/>
      <c r="Z35" s="6"/>
    </row>
    <row r="36" ht="18.0" customHeight="1">
      <c r="A36" s="184"/>
      <c r="B36" s="181"/>
      <c r="C36" s="181"/>
      <c r="D36" s="181"/>
      <c r="E36" s="181"/>
      <c r="F36" s="181"/>
      <c r="G36" s="181"/>
      <c r="H36" s="182"/>
      <c r="I36" s="6"/>
      <c r="J36" s="6"/>
      <c r="K36" s="6"/>
      <c r="L36" s="6"/>
      <c r="M36" s="6"/>
      <c r="N36" s="6"/>
      <c r="O36" s="6"/>
      <c r="P36" s="6"/>
      <c r="Q36" s="6"/>
      <c r="R36" s="6"/>
      <c r="S36" s="6"/>
      <c r="T36" s="6"/>
      <c r="U36" s="6"/>
      <c r="V36" s="6"/>
      <c r="W36" s="6"/>
      <c r="X36" s="6"/>
      <c r="Y36" s="6"/>
      <c r="Z36" s="6"/>
    </row>
    <row r="37" ht="18.0" customHeight="1">
      <c r="A37" s="184"/>
      <c r="B37" s="181"/>
      <c r="C37" s="181"/>
      <c r="D37" s="181"/>
      <c r="E37" s="181"/>
      <c r="F37" s="181"/>
      <c r="G37" s="181"/>
      <c r="H37" s="182"/>
      <c r="I37" s="6"/>
      <c r="J37" s="6"/>
      <c r="K37" s="6"/>
      <c r="L37" s="6"/>
      <c r="M37" s="6"/>
      <c r="N37" s="6"/>
      <c r="O37" s="6"/>
      <c r="P37" s="6"/>
      <c r="Q37" s="6"/>
      <c r="R37" s="6"/>
      <c r="S37" s="6"/>
      <c r="T37" s="6"/>
      <c r="U37" s="6"/>
      <c r="V37" s="6"/>
      <c r="W37" s="6"/>
      <c r="X37" s="6"/>
      <c r="Y37" s="6"/>
      <c r="Z37" s="6"/>
    </row>
    <row r="38" ht="18.0" customHeight="1">
      <c r="A38" s="184"/>
      <c r="B38" s="181"/>
      <c r="C38" s="181"/>
      <c r="D38" s="181"/>
      <c r="E38" s="181"/>
      <c r="F38" s="181"/>
      <c r="G38" s="181"/>
      <c r="H38" s="182"/>
      <c r="I38" s="6"/>
      <c r="J38" s="6"/>
      <c r="K38" s="6"/>
      <c r="L38" s="6"/>
      <c r="M38" s="6"/>
      <c r="N38" s="6"/>
      <c r="O38" s="6"/>
      <c r="P38" s="6"/>
      <c r="Q38" s="6"/>
      <c r="R38" s="6"/>
      <c r="S38" s="6"/>
      <c r="T38" s="6"/>
      <c r="U38" s="6"/>
      <c r="V38" s="6"/>
      <c r="W38" s="6"/>
      <c r="X38" s="6"/>
      <c r="Y38" s="6"/>
      <c r="Z38" s="6"/>
    </row>
    <row r="39" ht="18.0" customHeight="1">
      <c r="A39" s="184"/>
      <c r="B39" s="181"/>
      <c r="C39" s="181"/>
      <c r="D39" s="181"/>
      <c r="E39" s="181"/>
      <c r="F39" s="181"/>
      <c r="G39" s="181"/>
      <c r="H39" s="182"/>
      <c r="I39" s="6"/>
      <c r="J39" s="6"/>
      <c r="K39" s="6"/>
      <c r="L39" s="6"/>
      <c r="M39" s="6"/>
      <c r="N39" s="6"/>
      <c r="O39" s="6"/>
      <c r="P39" s="6"/>
      <c r="Q39" s="6"/>
      <c r="R39" s="6"/>
      <c r="S39" s="6"/>
      <c r="T39" s="6"/>
      <c r="U39" s="6"/>
      <c r="V39" s="6"/>
      <c r="W39" s="6"/>
      <c r="X39" s="6"/>
      <c r="Y39" s="6"/>
      <c r="Z39" s="6"/>
    </row>
    <row r="40" ht="18.0" customHeight="1">
      <c r="A40" s="184"/>
      <c r="B40" s="181"/>
      <c r="C40" s="181"/>
      <c r="D40" s="181"/>
      <c r="E40" s="181"/>
      <c r="F40" s="181"/>
      <c r="G40" s="181"/>
      <c r="H40" s="182"/>
      <c r="I40" s="6"/>
      <c r="J40" s="6"/>
      <c r="K40" s="6"/>
      <c r="L40" s="6"/>
      <c r="M40" s="6"/>
      <c r="N40" s="6"/>
      <c r="O40" s="6"/>
      <c r="P40" s="6"/>
      <c r="Q40" s="6"/>
      <c r="R40" s="6"/>
      <c r="S40" s="6"/>
      <c r="T40" s="6"/>
      <c r="U40" s="6"/>
      <c r="V40" s="6"/>
      <c r="W40" s="6"/>
      <c r="X40" s="6"/>
      <c r="Y40" s="6"/>
      <c r="Z40" s="6"/>
    </row>
    <row r="41" ht="18.0" customHeight="1">
      <c r="A41" s="184"/>
      <c r="B41" s="181"/>
      <c r="C41" s="181"/>
      <c r="D41" s="181"/>
      <c r="E41" s="181"/>
      <c r="F41" s="181"/>
      <c r="G41" s="181"/>
      <c r="H41" s="182"/>
      <c r="I41" s="6"/>
      <c r="J41" s="6"/>
      <c r="K41" s="6"/>
      <c r="L41" s="6"/>
      <c r="M41" s="6"/>
      <c r="N41" s="6"/>
      <c r="O41" s="6"/>
      <c r="P41" s="6"/>
      <c r="Q41" s="6"/>
      <c r="R41" s="6"/>
      <c r="S41" s="6"/>
      <c r="T41" s="6"/>
      <c r="U41" s="6"/>
      <c r="V41" s="6"/>
      <c r="W41" s="6"/>
      <c r="X41" s="6"/>
      <c r="Y41" s="6"/>
      <c r="Z41" s="6"/>
    </row>
    <row r="42" ht="18.0" customHeight="1">
      <c r="A42" s="184"/>
      <c r="B42" s="181"/>
      <c r="C42" s="181"/>
      <c r="D42" s="181"/>
      <c r="E42" s="181"/>
      <c r="F42" s="181"/>
      <c r="G42" s="181"/>
      <c r="H42" s="182"/>
      <c r="I42" s="6"/>
      <c r="J42" s="6"/>
      <c r="K42" s="6"/>
      <c r="L42" s="6"/>
      <c r="M42" s="6"/>
      <c r="N42" s="6"/>
      <c r="O42" s="6"/>
      <c r="P42" s="6"/>
      <c r="Q42" s="6"/>
      <c r="R42" s="6"/>
      <c r="S42" s="6"/>
      <c r="T42" s="6"/>
      <c r="U42" s="6"/>
      <c r="V42" s="6"/>
      <c r="W42" s="6"/>
      <c r="X42" s="6"/>
      <c r="Y42" s="6"/>
      <c r="Z42" s="6"/>
    </row>
    <row r="43" ht="18.0" customHeight="1">
      <c r="A43" s="184"/>
      <c r="B43" s="181"/>
      <c r="C43" s="181"/>
      <c r="D43" s="181"/>
      <c r="E43" s="181"/>
      <c r="F43" s="181"/>
      <c r="G43" s="181"/>
      <c r="H43" s="182"/>
      <c r="I43" s="6"/>
      <c r="J43" s="6"/>
      <c r="K43" s="6"/>
      <c r="L43" s="6"/>
      <c r="M43" s="6"/>
      <c r="N43" s="6"/>
      <c r="O43" s="6"/>
      <c r="P43" s="6"/>
      <c r="Q43" s="6"/>
      <c r="R43" s="6"/>
      <c r="S43" s="6"/>
      <c r="T43" s="6"/>
      <c r="U43" s="6"/>
      <c r="V43" s="6"/>
      <c r="W43" s="6"/>
      <c r="X43" s="6"/>
      <c r="Y43" s="6"/>
      <c r="Z43" s="6"/>
    </row>
    <row r="44" ht="18.0" customHeight="1">
      <c r="A44" s="184"/>
      <c r="B44" s="181"/>
      <c r="C44" s="181"/>
      <c r="D44" s="181"/>
      <c r="E44" s="181"/>
      <c r="F44" s="181"/>
      <c r="G44" s="181"/>
      <c r="H44" s="182"/>
      <c r="I44" s="6"/>
      <c r="J44" s="6"/>
      <c r="K44" s="6"/>
      <c r="L44" s="6"/>
      <c r="M44" s="6"/>
      <c r="N44" s="6"/>
      <c r="O44" s="6"/>
      <c r="P44" s="6"/>
      <c r="Q44" s="6"/>
      <c r="R44" s="6"/>
      <c r="S44" s="6"/>
      <c r="T44" s="6"/>
      <c r="U44" s="6"/>
      <c r="V44" s="6"/>
      <c r="W44" s="6"/>
      <c r="X44" s="6"/>
      <c r="Y44" s="6"/>
      <c r="Z44" s="6"/>
    </row>
    <row r="45" ht="18.0" customHeight="1">
      <c r="A45" s="261"/>
      <c r="B45" s="189"/>
      <c r="C45" s="189"/>
      <c r="D45" s="189"/>
      <c r="E45" s="189"/>
      <c r="F45" s="189"/>
      <c r="G45" s="189"/>
      <c r="H45" s="262"/>
      <c r="I45" s="6"/>
      <c r="J45" s="6"/>
      <c r="K45" s="6"/>
      <c r="L45" s="6"/>
      <c r="M45" s="6"/>
      <c r="N45" s="6"/>
      <c r="O45" s="6"/>
      <c r="P45" s="6"/>
      <c r="Q45" s="6"/>
      <c r="R45" s="6"/>
      <c r="S45" s="6"/>
      <c r="T45" s="6"/>
      <c r="U45" s="6"/>
      <c r="V45" s="6"/>
      <c r="W45" s="6"/>
      <c r="X45" s="6"/>
      <c r="Y45" s="6"/>
      <c r="Z45" s="6"/>
    </row>
    <row r="46" ht="48.0" customHeight="1">
      <c r="A46" s="263" t="s">
        <v>1555</v>
      </c>
      <c r="B46" s="40"/>
      <c r="C46" s="40"/>
      <c r="D46" s="40"/>
      <c r="E46" s="40"/>
      <c r="F46" s="40"/>
      <c r="G46" s="40"/>
      <c r="H46" s="14"/>
      <c r="I46" s="6"/>
      <c r="J46" s="6"/>
      <c r="K46" s="6"/>
      <c r="L46" s="6"/>
      <c r="M46" s="6"/>
      <c r="N46" s="6"/>
      <c r="O46" s="6"/>
      <c r="P46" s="6"/>
      <c r="Q46" s="6"/>
      <c r="R46" s="6"/>
      <c r="S46" s="6"/>
      <c r="T46" s="6"/>
      <c r="U46" s="6"/>
      <c r="V46" s="6"/>
      <c r="W46" s="6"/>
      <c r="X46" s="6"/>
      <c r="Y46" s="6"/>
      <c r="Z46" s="6"/>
    </row>
    <row r="47" ht="36.0" customHeight="1">
      <c r="A47" s="264"/>
      <c r="B47" s="40"/>
      <c r="C47" s="40"/>
      <c r="D47" s="40"/>
      <c r="E47" s="40"/>
      <c r="F47" s="14"/>
      <c r="G47" s="265" t="s">
        <v>1165</v>
      </c>
      <c r="H47" s="14"/>
      <c r="I47" s="6"/>
      <c r="J47" s="6"/>
      <c r="K47" s="6"/>
      <c r="L47" s="6"/>
      <c r="M47" s="6"/>
      <c r="N47" s="6"/>
      <c r="O47" s="6"/>
      <c r="P47" s="6"/>
      <c r="Q47" s="6"/>
      <c r="R47" s="6"/>
      <c r="S47" s="6"/>
      <c r="T47" s="6"/>
      <c r="U47" s="6"/>
      <c r="V47" s="6"/>
      <c r="W47" s="6"/>
      <c r="X47" s="6"/>
      <c r="Y47" s="6"/>
      <c r="Z47" s="6"/>
    </row>
    <row r="48" ht="60.0" customHeight="1">
      <c r="A48" s="191" t="str">
        <f>'High Risk Non-Compliant'!B4</f>
        <v>ID</v>
      </c>
      <c r="B48" s="161" t="str">
        <f>'High Risk Non-Compliant'!C4</f>
        <v>Question</v>
      </c>
      <c r="C48" s="14"/>
      <c r="D48" s="161" t="str">
        <f>'High Risk Non-Compliant'!D4</f>
        <v>Additional Info</v>
      </c>
      <c r="E48" s="40"/>
      <c r="F48" s="14"/>
      <c r="G48" s="266" t="str">
        <f>'Analyst Report'!B10</f>
        <v/>
      </c>
      <c r="H48" s="267" t="str">
        <f>VLOOKUP('Analyst Report'!B10,'Standards Crosswalk'!A315:B321,2)</f>
        <v>#N/A</v>
      </c>
      <c r="I48" s="6"/>
      <c r="J48" s="6"/>
      <c r="K48" s="6"/>
      <c r="L48" s="6"/>
      <c r="M48" s="6"/>
      <c r="N48" s="6"/>
      <c r="O48" s="6"/>
      <c r="P48" s="6"/>
      <c r="Q48" s="6"/>
      <c r="R48" s="6"/>
      <c r="S48" s="6"/>
      <c r="T48" s="6"/>
      <c r="U48" s="6"/>
      <c r="V48" s="6"/>
      <c r="W48" s="6"/>
      <c r="X48" s="6"/>
      <c r="Y48" s="6"/>
      <c r="Z48" s="6"/>
    </row>
    <row r="49" ht="144.0" customHeight="1">
      <c r="A49" s="268" t="str">
        <f>'High Risk Non-Compliant'!B5</f>
        <v>DOCU-04</v>
      </c>
      <c r="B49" s="164" t="str">
        <f>'High Risk Non-Compliant'!C5</f>
        <v>Do you conform with a specific industry standard security framework? (e.g. NIST Cybersecurity Framework, ISO 27001, etc.)</v>
      </c>
      <c r="C49" s="14"/>
      <c r="D49" s="269">
        <f>'High Risk Non-Compliant'!D5</f>
        <v>0</v>
      </c>
      <c r="E49" s="40"/>
      <c r="F49" s="14"/>
      <c r="G49" s="266" t="str">
        <f>IF(VLOOKUP(A49,'High Risk Non-Compliant'!B1:K1685,$H$48,FALSE)=0,"N/A",VLOOKUP(A49,'High Risk Non-Compliant'!B1:K1685,$H$48,FALSE))</f>
        <v>#N/A</v>
      </c>
      <c r="H49" s="266" t="str">
        <f>IF(G49="N/A","N/A",VLOOKUP(G49,'Crosswalk Detail'!A1:B958,2,FALSE))</f>
        <v>#N/A</v>
      </c>
      <c r="I49" s="6"/>
      <c r="J49" s="6"/>
      <c r="K49" s="6"/>
      <c r="L49" s="6"/>
      <c r="M49" s="6"/>
      <c r="N49" s="6"/>
      <c r="O49" s="6"/>
      <c r="P49" s="6"/>
      <c r="Q49" s="6"/>
      <c r="R49" s="6"/>
      <c r="S49" s="6"/>
      <c r="T49" s="6"/>
      <c r="U49" s="6"/>
      <c r="V49" s="6"/>
      <c r="W49" s="6"/>
      <c r="X49" s="6"/>
      <c r="Y49" s="6"/>
      <c r="Z49" s="6"/>
    </row>
    <row r="50" ht="144.0" customHeight="1">
      <c r="A50" s="268" t="str">
        <f>'High Risk Non-Compliant'!B6</f>
        <v>DOCU-06</v>
      </c>
      <c r="B50" s="164" t="str">
        <f>'High Risk Non-Compliant'!C6</f>
        <v>Does your organization have a data privacy policy?</v>
      </c>
      <c r="C50" s="14"/>
      <c r="D50" s="269">
        <f>'High Risk Non-Compliant'!D6</f>
        <v>0</v>
      </c>
      <c r="E50" s="40"/>
      <c r="F50" s="14"/>
      <c r="G50" s="266" t="str">
        <f>IF(VLOOKUP(A50,'High Risk Non-Compliant'!B1:K1685,$H$48,FALSE)=0,"N/A",VLOOKUP(A50,'High Risk Non-Compliant'!B1:K1685,$H$48,FALSE))</f>
        <v>#N/A</v>
      </c>
      <c r="H50" s="266" t="str">
        <f>IF(G50="N/A","N/A",VLOOKUP(G50,'Crosswalk Detail'!A1:B958,2,FALSE))</f>
        <v>#N/A</v>
      </c>
      <c r="I50" s="6"/>
      <c r="J50" s="6"/>
      <c r="K50" s="6"/>
      <c r="L50" s="6"/>
      <c r="M50" s="6"/>
      <c r="N50" s="6"/>
      <c r="O50" s="6"/>
      <c r="P50" s="6"/>
      <c r="Q50" s="6"/>
      <c r="R50" s="6"/>
      <c r="S50" s="6"/>
      <c r="T50" s="6"/>
      <c r="U50" s="6"/>
      <c r="V50" s="6"/>
      <c r="W50" s="6"/>
      <c r="X50" s="6"/>
      <c r="Y50" s="6"/>
      <c r="Z50" s="6"/>
    </row>
    <row r="51" ht="144.0" customHeight="1">
      <c r="A51" s="268" t="str">
        <f>'High Risk Non-Compliant'!B7</f>
        <v>THRD-01</v>
      </c>
      <c r="B51" s="164" t="str">
        <f>'High Risk Non-Compliant'!C7</f>
        <v>Describe how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v>
      </c>
      <c r="C51" s="14"/>
      <c r="D51" s="269">
        <f>'High Risk Non-Compliant'!D7</f>
        <v>0</v>
      </c>
      <c r="E51" s="40"/>
      <c r="F51" s="14"/>
      <c r="G51" s="266" t="str">
        <f>IF(VLOOKUP(A51,'High Risk Non-Compliant'!B1:K1685,$H$48,FALSE)=0,"N/A",VLOOKUP(A51,'High Risk Non-Compliant'!B1:K1685,$H$48,FALSE))</f>
        <v>#N/A</v>
      </c>
      <c r="H51" s="266" t="str">
        <f>IF(G51="N/A","N/A",VLOOKUP(G51,'Crosswalk Detail'!A1:B958,2,FALSE))</f>
        <v>#N/A</v>
      </c>
      <c r="I51" s="6"/>
      <c r="J51" s="6"/>
      <c r="K51" s="6"/>
      <c r="L51" s="6"/>
      <c r="M51" s="6"/>
      <c r="N51" s="6"/>
      <c r="O51" s="6"/>
      <c r="P51" s="6"/>
      <c r="Q51" s="6"/>
      <c r="R51" s="6"/>
      <c r="S51" s="6"/>
      <c r="T51" s="6"/>
      <c r="U51" s="6"/>
      <c r="V51" s="6"/>
      <c r="W51" s="6"/>
      <c r="X51" s="6"/>
      <c r="Y51" s="6"/>
      <c r="Z51" s="6"/>
    </row>
    <row r="52" ht="144.0" customHeight="1">
      <c r="A52" s="268" t="str">
        <f>'High Risk Non-Compliant'!B8</f>
        <v>THRD-02</v>
      </c>
      <c r="B52" s="164" t="str">
        <f>'High Risk Non-Compliant'!C8</f>
        <v>Provide a brief description for why each of these third parties will have access to institution data.</v>
      </c>
      <c r="C52" s="14"/>
      <c r="D52" s="269">
        <f>'High Risk Non-Compliant'!D8</f>
        <v>0</v>
      </c>
      <c r="E52" s="40"/>
      <c r="F52" s="14"/>
      <c r="G52" s="266" t="str">
        <f>IF(VLOOKUP(A52,'High Risk Non-Compliant'!B1:K1685,$H$48,FALSE)=0,"N/A",VLOOKUP(A52,'High Risk Non-Compliant'!B1:K1685,$H$48,FALSE))</f>
        <v>#N/A</v>
      </c>
      <c r="H52" s="266" t="str">
        <f>IF(G52="N/A","N/A",VLOOKUP(G52,'Crosswalk Detail'!A1:B958,2,FALSE))</f>
        <v>#N/A</v>
      </c>
      <c r="I52" s="6"/>
      <c r="J52" s="6"/>
      <c r="K52" s="6"/>
      <c r="L52" s="6"/>
      <c r="M52" s="6"/>
      <c r="N52" s="6"/>
      <c r="O52" s="6"/>
      <c r="P52" s="6"/>
      <c r="Q52" s="6"/>
      <c r="R52" s="6"/>
      <c r="S52" s="6"/>
      <c r="T52" s="6"/>
      <c r="U52" s="6"/>
      <c r="V52" s="6"/>
      <c r="W52" s="6"/>
      <c r="X52" s="6"/>
      <c r="Y52" s="6"/>
      <c r="Z52" s="6"/>
    </row>
    <row r="53" ht="144.0" customHeight="1">
      <c r="A53" s="268" t="str">
        <f>'High Risk Non-Compliant'!B9</f>
        <v>THRD-03</v>
      </c>
      <c r="B53" s="164" t="str">
        <f>'High Risk Non-Compliant'!C9</f>
        <v>What legal agreements (i.e. contracts) do you have in place with these third parties that address liability in the event of a data breach?</v>
      </c>
      <c r="C53" s="14"/>
      <c r="D53" s="269">
        <f>'High Risk Non-Compliant'!D9</f>
        <v>0</v>
      </c>
      <c r="E53" s="40"/>
      <c r="F53" s="14"/>
      <c r="G53" s="266" t="str">
        <f>IF(VLOOKUP(A53,'High Risk Non-Compliant'!B1:K1685,$H$48,FALSE)=0,"N/A",VLOOKUP(A53,'High Risk Non-Compliant'!B1:K1685,$H$48,FALSE))</f>
        <v>#N/A</v>
      </c>
      <c r="H53" s="266" t="str">
        <f>IF(G53="N/A","N/A",VLOOKUP(G53,'Crosswalk Detail'!A1:B958,2,FALSE))</f>
        <v>#N/A</v>
      </c>
      <c r="I53" s="6"/>
      <c r="J53" s="6"/>
      <c r="K53" s="6"/>
      <c r="L53" s="6"/>
      <c r="M53" s="6"/>
      <c r="N53" s="6"/>
      <c r="O53" s="6"/>
      <c r="P53" s="6"/>
      <c r="Q53" s="6"/>
      <c r="R53" s="6"/>
      <c r="S53" s="6"/>
      <c r="T53" s="6"/>
      <c r="U53" s="6"/>
      <c r="V53" s="6"/>
      <c r="W53" s="6"/>
      <c r="X53" s="6"/>
      <c r="Y53" s="6"/>
      <c r="Z53" s="6"/>
    </row>
    <row r="54" ht="144.0" customHeight="1">
      <c r="A54" s="268" t="str">
        <f>'High Risk Non-Compliant'!B10</f>
        <v>THRD-04</v>
      </c>
      <c r="B54" s="270" t="str">
        <f>'High Risk Non-Compliant'!C10</f>
        <v>Describe or provide references to your third party management strategy or provide additional information that may help analysts better understand your environment and how it relates to third-party solutions.</v>
      </c>
      <c r="C54" s="14"/>
      <c r="D54" s="269">
        <f>'High Risk Non-Compliant'!D10</f>
        <v>0</v>
      </c>
      <c r="E54" s="40"/>
      <c r="F54" s="14"/>
      <c r="G54" s="266" t="str">
        <f>IF(VLOOKUP(A54,'High Risk Non-Compliant'!B1:K1685,$H$48,FALSE)=0,"N/A",VLOOKUP(A54,'High Risk Non-Compliant'!B1:K1685,$H$48,FALSE))</f>
        <v>#N/A</v>
      </c>
      <c r="H54" s="266" t="str">
        <f>IF(G54="N/A","N/A",VLOOKUP(G54,'Crosswalk Detail'!A1:B958,2,FALSE))</f>
        <v>#N/A</v>
      </c>
      <c r="I54" s="6"/>
      <c r="J54" s="6"/>
      <c r="K54" s="6"/>
      <c r="L54" s="6"/>
      <c r="M54" s="6"/>
      <c r="N54" s="6"/>
      <c r="O54" s="6"/>
      <c r="P54" s="6"/>
      <c r="Q54" s="6"/>
      <c r="R54" s="6"/>
      <c r="S54" s="6"/>
      <c r="T54" s="6"/>
      <c r="U54" s="6"/>
      <c r="V54" s="6"/>
      <c r="W54" s="6"/>
      <c r="X54" s="6"/>
      <c r="Y54" s="6"/>
      <c r="Z54" s="6"/>
    </row>
    <row r="55" ht="144.0" customHeight="1">
      <c r="A55" s="268" t="str">
        <f>'High Risk Non-Compliant'!B11</f>
        <v>CONS-03</v>
      </c>
      <c r="B55" s="164" t="str">
        <f>'High Risk Non-Compliant'!C11</f>
        <v>Will the consultant require access to hardware in the Institution's data centers?</v>
      </c>
      <c r="C55" s="14"/>
      <c r="D55" s="269">
        <f>'High Risk Non-Compliant'!D11</f>
        <v>0</v>
      </c>
      <c r="E55" s="40"/>
      <c r="F55" s="14"/>
      <c r="G55" s="266" t="str">
        <f>IF(VLOOKUP(A55,'High Risk Non-Compliant'!B1:K1685,$H$48,FALSE)=0,"N/A",VLOOKUP(A55,'High Risk Non-Compliant'!B1:K1685,$H$48,FALSE))</f>
        <v>#N/A</v>
      </c>
      <c r="H55" s="266" t="str">
        <f>IF(G55="N/A","N/A",VLOOKUP(G55,'Crosswalk Detail'!A1:B958,2,FALSE))</f>
        <v>#N/A</v>
      </c>
      <c r="I55" s="6"/>
      <c r="J55" s="6"/>
      <c r="K55" s="6"/>
      <c r="L55" s="6"/>
      <c r="M55" s="6"/>
      <c r="N55" s="6"/>
      <c r="O55" s="6"/>
      <c r="P55" s="6"/>
      <c r="Q55" s="6"/>
      <c r="R55" s="6"/>
      <c r="S55" s="6"/>
      <c r="T55" s="6"/>
      <c r="U55" s="6"/>
      <c r="V55" s="6"/>
      <c r="W55" s="6"/>
      <c r="X55" s="6"/>
      <c r="Y55" s="6"/>
      <c r="Z55" s="6"/>
    </row>
    <row r="56" ht="144.0" customHeight="1">
      <c r="A56" s="268" t="str">
        <f>'High Risk Non-Compliant'!B12</f>
        <v>CONS-06</v>
      </c>
      <c r="B56" s="164" t="str">
        <f>'High Risk Non-Compliant'!C12</f>
        <v>Will any data be transferred to the consultant's possession?</v>
      </c>
      <c r="C56" s="14"/>
      <c r="D56" s="269">
        <f>'High Risk Non-Compliant'!D12</f>
        <v>0</v>
      </c>
      <c r="E56" s="40"/>
      <c r="F56" s="14"/>
      <c r="G56" s="266" t="str">
        <f>IF(VLOOKUP(A56,'High Risk Non-Compliant'!B1:K1685,$H$48,FALSE)=0,"N/A",VLOOKUP(A56,'High Risk Non-Compliant'!B1:K1685,$H$48,FALSE))</f>
        <v>#N/A</v>
      </c>
      <c r="H56" s="266" t="str">
        <f>IF(G56="N/A","N/A",VLOOKUP(G56,'Crosswalk Detail'!A1:B958,2,FALSE))</f>
        <v>#N/A</v>
      </c>
      <c r="I56" s="6"/>
      <c r="J56" s="6"/>
      <c r="K56" s="6"/>
      <c r="L56" s="6"/>
      <c r="M56" s="6"/>
      <c r="N56" s="6"/>
      <c r="O56" s="6"/>
      <c r="P56" s="6"/>
      <c r="Q56" s="6"/>
      <c r="R56" s="6"/>
      <c r="S56" s="6"/>
      <c r="T56" s="6"/>
      <c r="U56" s="6"/>
      <c r="V56" s="6"/>
      <c r="W56" s="6"/>
      <c r="X56" s="6"/>
      <c r="Y56" s="6"/>
      <c r="Z56" s="6"/>
    </row>
    <row r="57" ht="144.0" customHeight="1">
      <c r="A57" s="268" t="str">
        <f>'High Risk Non-Compliant'!B13</f>
        <v>CONS-08</v>
      </c>
      <c r="B57" s="164" t="str">
        <f>'High Risk Non-Compliant'!C13</f>
        <v>Will the consultant need remote access to the Institution's network or systems?</v>
      </c>
      <c r="C57" s="14"/>
      <c r="D57" s="269">
        <f>'High Risk Non-Compliant'!D13</f>
        <v>0</v>
      </c>
      <c r="E57" s="40"/>
      <c r="F57" s="14"/>
      <c r="G57" s="266" t="str">
        <f>IF(VLOOKUP(A57,'High Risk Non-Compliant'!B1:K1685,$H$48,FALSE)=0,"N/A",VLOOKUP(A57,'High Risk Non-Compliant'!B1:K1685,$H$48,FALSE))</f>
        <v>#N/A</v>
      </c>
      <c r="H57" s="266" t="str">
        <f>IF(G57="N/A","N/A",VLOOKUP(G57,'Crosswalk Detail'!A1:B958,2,FALSE))</f>
        <v>#N/A</v>
      </c>
      <c r="I57" s="6"/>
      <c r="J57" s="6"/>
      <c r="K57" s="6"/>
      <c r="L57" s="6"/>
      <c r="M57" s="6"/>
      <c r="N57" s="6"/>
      <c r="O57" s="6"/>
      <c r="P57" s="6"/>
      <c r="Q57" s="6"/>
      <c r="R57" s="6"/>
      <c r="S57" s="6"/>
      <c r="T57" s="6"/>
      <c r="U57" s="6"/>
      <c r="V57" s="6"/>
      <c r="W57" s="6"/>
      <c r="X57" s="6"/>
      <c r="Y57" s="6"/>
      <c r="Z57" s="6"/>
    </row>
    <row r="58" ht="144.0" customHeight="1">
      <c r="A58" s="268" t="str">
        <f>'High Risk Non-Compliant'!B14</f>
        <v>APPL-01</v>
      </c>
      <c r="B58" s="164" t="str">
        <f>'High Risk Non-Compliant'!C14</f>
        <v>Do you support role-based access control (RBAC) for end-users?</v>
      </c>
      <c r="C58" s="14"/>
      <c r="D58" s="269">
        <f>'High Risk Non-Compliant'!D14</f>
        <v>0</v>
      </c>
      <c r="E58" s="40"/>
      <c r="F58" s="14"/>
      <c r="G58" s="266" t="str">
        <f>IF(VLOOKUP(A58,'High Risk Non-Compliant'!B1:K1685,$H$48,FALSE)=0,"N/A",VLOOKUP(A58,'High Risk Non-Compliant'!B1:K1685,$H$48,FALSE))</f>
        <v>#N/A</v>
      </c>
      <c r="H58" s="266" t="str">
        <f>IF(G58="N/A","N/A",VLOOKUP(G58,'Crosswalk Detail'!A1:B958,2,FALSE))</f>
        <v>#N/A</v>
      </c>
      <c r="I58" s="6"/>
      <c r="J58" s="6"/>
      <c r="K58" s="6"/>
      <c r="L58" s="6"/>
      <c r="M58" s="6"/>
      <c r="N58" s="6"/>
      <c r="O58" s="6"/>
      <c r="P58" s="6"/>
      <c r="Q58" s="6"/>
      <c r="R58" s="6"/>
      <c r="S58" s="6"/>
      <c r="T58" s="6"/>
      <c r="U58" s="6"/>
      <c r="V58" s="6"/>
      <c r="W58" s="6"/>
      <c r="X58" s="6"/>
      <c r="Y58" s="6"/>
      <c r="Z58" s="6"/>
    </row>
    <row r="59" ht="144.0" customHeight="1">
      <c r="A59" s="268" t="str">
        <f>'High Risk Non-Compliant'!B15</f>
        <v>APPL-02</v>
      </c>
      <c r="B59" s="164" t="str">
        <f>'High Risk Non-Compliant'!C15</f>
        <v>Do you support role-based access control (RBAC) for system administrators?</v>
      </c>
      <c r="C59" s="14"/>
      <c r="D59" s="269">
        <f>'High Risk Non-Compliant'!D15</f>
        <v>0</v>
      </c>
      <c r="E59" s="40"/>
      <c r="F59" s="14"/>
      <c r="G59" s="266" t="str">
        <f>IF(VLOOKUP(A59,'High Risk Non-Compliant'!B1:K1685,$H$48,FALSE)=0,"N/A",VLOOKUP(A59,'High Risk Non-Compliant'!B1:K1685,$H$48,FALSE))</f>
        <v>#N/A</v>
      </c>
      <c r="H59" s="266" t="str">
        <f>IF(G59="N/A","N/A",VLOOKUP(G59,'Crosswalk Detail'!A1:B958,2,FALSE))</f>
        <v>#N/A</v>
      </c>
      <c r="I59" s="6"/>
      <c r="J59" s="6"/>
      <c r="K59" s="6"/>
      <c r="L59" s="6"/>
      <c r="M59" s="6"/>
      <c r="N59" s="6"/>
      <c r="O59" s="6"/>
      <c r="P59" s="6"/>
      <c r="Q59" s="6"/>
      <c r="R59" s="6"/>
      <c r="S59" s="6"/>
      <c r="T59" s="6"/>
      <c r="U59" s="6"/>
      <c r="V59" s="6"/>
      <c r="W59" s="6"/>
      <c r="X59" s="6"/>
      <c r="Y59" s="6"/>
      <c r="Z59" s="6"/>
    </row>
    <row r="60" ht="144.0" customHeight="1">
      <c r="A60" s="268" t="str">
        <f>'High Risk Non-Compliant'!B16</f>
        <v>APPL-06</v>
      </c>
      <c r="B60" s="164" t="str">
        <f>'High Risk Non-Compliant'!C16</f>
        <v>Do you employ a single-tenant environment? </v>
      </c>
      <c r="C60" s="14"/>
      <c r="D60" s="269">
        <f>'High Risk Non-Compliant'!D16</f>
        <v>0</v>
      </c>
      <c r="E60" s="40"/>
      <c r="F60" s="14"/>
      <c r="G60" s="266" t="str">
        <f>IF(VLOOKUP(A60,'High Risk Non-Compliant'!B1:K1685,$H$48,FALSE)=0,"N/A",VLOOKUP(A60,'High Risk Non-Compliant'!B1:K1685,$H$48,FALSE))</f>
        <v>#N/A</v>
      </c>
      <c r="H60" s="266" t="str">
        <f>IF(G60="N/A","N/A",VLOOKUP(G60,'Crosswalk Detail'!A1:B958,2,FALSE))</f>
        <v>#N/A</v>
      </c>
      <c r="I60" s="6"/>
      <c r="J60" s="6"/>
      <c r="K60" s="6"/>
      <c r="L60" s="6"/>
      <c r="M60" s="6"/>
      <c r="N60" s="6"/>
      <c r="O60" s="6"/>
      <c r="P60" s="6"/>
      <c r="Q60" s="6"/>
      <c r="R60" s="6"/>
      <c r="S60" s="6"/>
      <c r="T60" s="6"/>
      <c r="U60" s="6"/>
      <c r="V60" s="6"/>
      <c r="W60" s="6"/>
      <c r="X60" s="6"/>
      <c r="Y60" s="6"/>
      <c r="Z60" s="6"/>
    </row>
    <row r="61" ht="144.0" customHeight="1">
      <c r="A61" s="268" t="str">
        <f>'High Risk Non-Compliant'!B17</f>
        <v>APPL-08</v>
      </c>
      <c r="B61" s="164" t="str">
        <f>'High Risk Non-Compliant'!C17</f>
        <v>Have you or any third party you contract with that may have access or allow access to the institution's data experienced a breach?</v>
      </c>
      <c r="C61" s="14"/>
      <c r="D61" s="269">
        <f>'High Risk Non-Compliant'!D17</f>
        <v>0</v>
      </c>
      <c r="E61" s="40"/>
      <c r="F61" s="14"/>
      <c r="G61" s="266" t="str">
        <f>IF(VLOOKUP(A61,'High Risk Non-Compliant'!B1:K1685,$H$48,FALSE)=0,"N/A",VLOOKUP(A61,'High Risk Non-Compliant'!B1:K1685,$H$48,FALSE))</f>
        <v>#N/A</v>
      </c>
      <c r="H61" s="266" t="str">
        <f>IF(G61="N/A","N/A",VLOOKUP(G61,'Crosswalk Detail'!A1:B958,2,FALSE))</f>
        <v>#N/A</v>
      </c>
      <c r="I61" s="6"/>
      <c r="J61" s="6"/>
      <c r="K61" s="6"/>
      <c r="L61" s="6"/>
      <c r="M61" s="6"/>
      <c r="N61" s="6"/>
      <c r="O61" s="6"/>
      <c r="P61" s="6"/>
      <c r="Q61" s="6"/>
      <c r="R61" s="6"/>
      <c r="S61" s="6"/>
      <c r="T61" s="6"/>
      <c r="U61" s="6"/>
      <c r="V61" s="6"/>
      <c r="W61" s="6"/>
      <c r="X61" s="6"/>
      <c r="Y61" s="6"/>
      <c r="Z61" s="6"/>
    </row>
    <row r="62" ht="144.0" customHeight="1">
      <c r="A62" s="268" t="str">
        <f>'High Risk Non-Compliant'!B18</f>
        <v>APPL-10</v>
      </c>
      <c r="B62" s="164" t="str">
        <f>'High Risk Non-Compliant'!C18</f>
        <v>Describe or provide a reference to the overall system and/or application architecture(s), including appropriate diagrams. Include a full description of the data communications architecture for all components of the system. </v>
      </c>
      <c r="C62" s="14"/>
      <c r="D62" s="269">
        <f>'High Risk Non-Compliant'!D18</f>
        <v>0</v>
      </c>
      <c r="E62" s="40"/>
      <c r="F62" s="14"/>
      <c r="G62" s="266" t="str">
        <f>IF(VLOOKUP(A62,'High Risk Non-Compliant'!B1:K1685,$H$48,FALSE)=0,"N/A",VLOOKUP(A62,'High Risk Non-Compliant'!B1:K1685,$H$48,FALSE))</f>
        <v>#N/A</v>
      </c>
      <c r="H62" s="266" t="str">
        <f>IF(G62="N/A","N/A",VLOOKUP(G62,'Crosswalk Detail'!A1:B958,2,FALSE))</f>
        <v>#N/A</v>
      </c>
      <c r="I62" s="6"/>
      <c r="J62" s="6"/>
      <c r="K62" s="6"/>
      <c r="L62" s="6"/>
      <c r="M62" s="6"/>
      <c r="N62" s="6"/>
      <c r="O62" s="6"/>
      <c r="P62" s="6"/>
      <c r="Q62" s="6"/>
      <c r="R62" s="6"/>
      <c r="S62" s="6"/>
      <c r="T62" s="6"/>
      <c r="U62" s="6"/>
      <c r="V62" s="6"/>
      <c r="W62" s="6"/>
      <c r="X62" s="6"/>
      <c r="Y62" s="6"/>
      <c r="Z62" s="6"/>
    </row>
    <row r="63" ht="144.0" customHeight="1">
      <c r="A63" s="268" t="str">
        <f>'High Risk Non-Compliant'!B19</f>
        <v>APPL-11</v>
      </c>
      <c r="B63" s="164" t="str">
        <f>'High Risk Non-Compliant'!C19</f>
        <v>Are databases used in the system segregated from front-end systems? (e.g. web and application servers)</v>
      </c>
      <c r="C63" s="14"/>
      <c r="D63" s="269">
        <f>'High Risk Non-Compliant'!D19</f>
        <v>0</v>
      </c>
      <c r="E63" s="40"/>
      <c r="F63" s="14"/>
      <c r="G63" s="266" t="str">
        <f>IF(VLOOKUP(A63,'High Risk Non-Compliant'!B1:K1685,$H$48,FALSE)=0,"N/A",VLOOKUP(A63,'High Risk Non-Compliant'!B1:K1685,$H$48,FALSE))</f>
        <v>#N/A</v>
      </c>
      <c r="H63" s="266" t="str">
        <f>IF(G63="N/A","N/A",VLOOKUP(G63,'Crosswalk Detail'!A1:B958,2,FALSE))</f>
        <v>#N/A</v>
      </c>
      <c r="I63" s="6"/>
      <c r="J63" s="6"/>
      <c r="K63" s="6"/>
      <c r="L63" s="6"/>
      <c r="M63" s="6"/>
      <c r="N63" s="6"/>
      <c r="O63" s="6"/>
      <c r="P63" s="6"/>
      <c r="Q63" s="6"/>
      <c r="R63" s="6"/>
      <c r="S63" s="6"/>
      <c r="T63" s="6"/>
      <c r="U63" s="6"/>
      <c r="V63" s="6"/>
      <c r="W63" s="6"/>
      <c r="X63" s="6"/>
      <c r="Y63" s="6"/>
      <c r="Z63" s="6"/>
    </row>
    <row r="64" ht="144.0" customHeight="1">
      <c r="A64" s="268" t="str">
        <f>'High Risk Non-Compliant'!B20</f>
        <v>APPL-14</v>
      </c>
      <c r="B64" s="164" t="str">
        <f>'High Risk Non-Compliant'!C20</f>
        <v>Can your system take advantage of mobile and/or GPS enabled mobile devices?  </v>
      </c>
      <c r="C64" s="14"/>
      <c r="D64" s="269">
        <f>'High Risk Non-Compliant'!D20</f>
        <v>0</v>
      </c>
      <c r="E64" s="40"/>
      <c r="F64" s="14"/>
      <c r="G64" s="266" t="str">
        <f>IF(VLOOKUP(A64,'High Risk Non-Compliant'!B1:K1685,$H$48,FALSE)=0,"N/A",VLOOKUP(A64,'High Risk Non-Compliant'!B1:K1685,$H$48,FALSE))</f>
        <v>#N/A</v>
      </c>
      <c r="H64" s="266" t="str">
        <f>IF(G64="N/A","N/A",VLOOKUP(G64,'Crosswalk Detail'!A1:B958,2,FALSE))</f>
        <v>#N/A</v>
      </c>
      <c r="I64" s="6"/>
      <c r="J64" s="6"/>
      <c r="K64" s="6"/>
      <c r="L64" s="6"/>
      <c r="M64" s="6"/>
      <c r="N64" s="6"/>
      <c r="O64" s="6"/>
      <c r="P64" s="6"/>
      <c r="Q64" s="6"/>
      <c r="R64" s="6"/>
      <c r="S64" s="6"/>
      <c r="T64" s="6"/>
      <c r="U64" s="6"/>
      <c r="V64" s="6"/>
      <c r="W64" s="6"/>
      <c r="X64" s="6"/>
      <c r="Y64" s="6"/>
      <c r="Z64" s="6"/>
    </row>
    <row r="65" ht="144.0" customHeight="1">
      <c r="A65" s="268" t="str">
        <f>'High Risk Non-Compliant'!B21</f>
        <v>APPL-15</v>
      </c>
      <c r="B65" s="164" t="str">
        <f>'High Risk Non-Compliant'!C21</f>
        <v>Describe or provide a reference to the facilities available in the system to provide separation of duties between security administration and system administration functions.</v>
      </c>
      <c r="C65" s="14"/>
      <c r="D65" s="269">
        <f>'High Risk Non-Compliant'!D21</f>
        <v>0</v>
      </c>
      <c r="E65" s="40"/>
      <c r="F65" s="14"/>
      <c r="G65" s="266" t="str">
        <f>IF(VLOOKUP(A65,'High Risk Non-Compliant'!B1:K1685,$H$48,FALSE)=0,"N/A",VLOOKUP(A65,'High Risk Non-Compliant'!B1:K1685,$H$48,FALSE))</f>
        <v>#N/A</v>
      </c>
      <c r="H65" s="266" t="str">
        <f>IF(G65="N/A","N/A",VLOOKUP(G65,'Crosswalk Detail'!A1:B958,2,FALSE))</f>
        <v>#N/A</v>
      </c>
      <c r="I65" s="6"/>
      <c r="J65" s="6"/>
      <c r="K65" s="6"/>
      <c r="L65" s="6"/>
      <c r="M65" s="6"/>
      <c r="N65" s="6"/>
      <c r="O65" s="6"/>
      <c r="P65" s="6"/>
      <c r="Q65" s="6"/>
      <c r="R65" s="6"/>
      <c r="S65" s="6"/>
      <c r="T65" s="6"/>
      <c r="U65" s="6"/>
      <c r="V65" s="6"/>
      <c r="W65" s="6"/>
      <c r="X65" s="6"/>
      <c r="Y65" s="6"/>
      <c r="Z65" s="6"/>
    </row>
    <row r="66" ht="144.0" customHeight="1">
      <c r="A66" s="268" t="str">
        <f>'High Risk Non-Compliant'!B22</f>
        <v>APPL-16</v>
      </c>
      <c r="B66" s="164" t="str">
        <f>'High Risk Non-Compliant'!C22</f>
        <v>Describe or provide a reference that details how administrator access is handled (e.g. provisioning, principle of least privilege, deprovisioning, etc.)</v>
      </c>
      <c r="C66" s="14"/>
      <c r="D66" s="269">
        <f>'High Risk Non-Compliant'!D22</f>
        <v>0</v>
      </c>
      <c r="E66" s="40"/>
      <c r="F66" s="14"/>
      <c r="G66" s="266" t="str">
        <f>IF(VLOOKUP(A66,'High Risk Non-Compliant'!B1:K1685,$H$48,FALSE)=0,"N/A",VLOOKUP(A66,'High Risk Non-Compliant'!B1:K1685,$H$48,FALSE))</f>
        <v>#N/A</v>
      </c>
      <c r="H66" s="266" t="str">
        <f>IF(G66="N/A","N/A",VLOOKUP(G66,'Crosswalk Detail'!A1:B958,2,FALSE))</f>
        <v>#N/A</v>
      </c>
      <c r="I66" s="6"/>
      <c r="J66" s="6"/>
      <c r="K66" s="6"/>
      <c r="L66" s="6"/>
      <c r="M66" s="6"/>
      <c r="N66" s="6"/>
      <c r="O66" s="6"/>
      <c r="P66" s="6"/>
      <c r="Q66" s="6"/>
      <c r="R66" s="6"/>
      <c r="S66" s="6"/>
      <c r="T66" s="6"/>
      <c r="U66" s="6"/>
      <c r="V66" s="6"/>
      <c r="W66" s="6"/>
      <c r="X66" s="6"/>
      <c r="Y66" s="6"/>
      <c r="Z66" s="6"/>
    </row>
    <row r="67" ht="144.0" customHeight="1">
      <c r="A67" s="268" t="str">
        <f>'High Risk Non-Compliant'!B23</f>
        <v>AAAI-01</v>
      </c>
      <c r="B67" s="164" t="str">
        <f>'High Risk Non-Compliant'!C23</f>
        <v>Can you enforce password/passphrase aging requirements?</v>
      </c>
      <c r="C67" s="14"/>
      <c r="D67" s="269">
        <f>'High Risk Non-Compliant'!D23</f>
        <v>0</v>
      </c>
      <c r="E67" s="40"/>
      <c r="F67" s="14"/>
      <c r="G67" s="266" t="str">
        <f>IF(VLOOKUP(A67,'High Risk Non-Compliant'!B1:K1685,$H$48,FALSE)=0,"N/A",VLOOKUP(A67,'High Risk Non-Compliant'!B1:K1685,$H$48,FALSE))</f>
        <v>#N/A</v>
      </c>
      <c r="H67" s="266" t="str">
        <f>IF(G67="N/A","N/A",VLOOKUP(G67,'Crosswalk Detail'!A1:B958,2,FALSE))</f>
        <v>#N/A</v>
      </c>
      <c r="I67" s="6"/>
      <c r="J67" s="6"/>
      <c r="K67" s="6"/>
      <c r="L67" s="6"/>
      <c r="M67" s="6"/>
      <c r="N67" s="6"/>
      <c r="O67" s="6"/>
      <c r="P67" s="6"/>
      <c r="Q67" s="6"/>
      <c r="R67" s="6"/>
      <c r="S67" s="6"/>
      <c r="T67" s="6"/>
      <c r="U67" s="6"/>
      <c r="V67" s="6"/>
      <c r="W67" s="6"/>
      <c r="X67" s="6"/>
      <c r="Y67" s="6"/>
      <c r="Z67" s="6"/>
    </row>
    <row r="68" ht="144.0" customHeight="1">
      <c r="A68" s="268" t="str">
        <f>'High Risk Non-Compliant'!B24</f>
        <v>AAAI-02</v>
      </c>
      <c r="B68" s="164" t="str">
        <f>'High Risk Non-Compliant'!C24</f>
        <v>Can you enforce password/passphrase complexity requirements [provided by the institution]?</v>
      </c>
      <c r="C68" s="14"/>
      <c r="D68" s="269">
        <f>'High Risk Non-Compliant'!D24</f>
        <v>0</v>
      </c>
      <c r="E68" s="40"/>
      <c r="F68" s="14"/>
      <c r="G68" s="266" t="str">
        <f>IF(VLOOKUP(A68,'High Risk Non-Compliant'!B1:K1685,$H$48,FALSE)=0,"N/A",VLOOKUP(A68,'High Risk Non-Compliant'!B1:K1685,$H$48,FALSE))</f>
        <v>#N/A</v>
      </c>
      <c r="H68" s="266" t="str">
        <f>IF(G68="N/A","N/A",VLOOKUP(G68,'Crosswalk Detail'!A1:B958,2,FALSE))</f>
        <v>#N/A</v>
      </c>
      <c r="I68" s="6"/>
      <c r="J68" s="6"/>
      <c r="K68" s="6"/>
      <c r="L68" s="6"/>
      <c r="M68" s="6"/>
      <c r="N68" s="6"/>
      <c r="O68" s="6"/>
      <c r="P68" s="6"/>
      <c r="Q68" s="6"/>
      <c r="R68" s="6"/>
      <c r="S68" s="6"/>
      <c r="T68" s="6"/>
      <c r="U68" s="6"/>
      <c r="V68" s="6"/>
      <c r="W68" s="6"/>
      <c r="X68" s="6"/>
      <c r="Y68" s="6"/>
      <c r="Z68" s="6"/>
    </row>
    <row r="69" ht="144.0" customHeight="1">
      <c r="A69" s="268" t="str">
        <f>'High Risk Non-Compliant'!B25</f>
        <v>AAAI-03</v>
      </c>
      <c r="B69" s="164" t="str">
        <f>'High Risk Non-Compliant'!C25</f>
        <v>Does the system have password complexity or length limitations and/or restrictions?</v>
      </c>
      <c r="C69" s="14"/>
      <c r="D69" s="269">
        <f>'High Risk Non-Compliant'!D25</f>
        <v>0</v>
      </c>
      <c r="E69" s="40"/>
      <c r="F69" s="14"/>
      <c r="G69" s="266" t="str">
        <f>IF(VLOOKUP(A69,'High Risk Non-Compliant'!B1:K1685,$H$48,FALSE)=0,"N/A",VLOOKUP(A69,'High Risk Non-Compliant'!B1:K1685,$H$48,FALSE))</f>
        <v>#N/A</v>
      </c>
      <c r="H69" s="266" t="str">
        <f>IF(G69="N/A","N/A",VLOOKUP(G69,'Crosswalk Detail'!A1:B958,2,FALSE))</f>
        <v>#N/A</v>
      </c>
      <c r="I69" s="6"/>
      <c r="J69" s="6"/>
      <c r="K69" s="6"/>
      <c r="L69" s="6"/>
      <c r="M69" s="6"/>
      <c r="N69" s="6"/>
      <c r="O69" s="6"/>
      <c r="P69" s="6"/>
      <c r="Q69" s="6"/>
      <c r="R69" s="6"/>
      <c r="S69" s="6"/>
      <c r="T69" s="6"/>
      <c r="U69" s="6"/>
      <c r="V69" s="6"/>
      <c r="W69" s="6"/>
      <c r="X69" s="6"/>
      <c r="Y69" s="6"/>
      <c r="Z69" s="6"/>
    </row>
    <row r="70" ht="144.0" customHeight="1">
      <c r="A70" s="268" t="str">
        <f>'High Risk Non-Compliant'!B26</f>
        <v>AAAI-05</v>
      </c>
      <c r="B70" s="164" t="str">
        <f>'High Risk Non-Compliant'!C26</f>
        <v>Does your web-based interface support authentication, including standards-based single-sign-on? (e.g. InCommon)</v>
      </c>
      <c r="C70" s="14"/>
      <c r="D70" s="269">
        <f>'High Risk Non-Compliant'!D26</f>
        <v>0</v>
      </c>
      <c r="E70" s="40"/>
      <c r="F70" s="14"/>
      <c r="G70" s="266" t="str">
        <f>IF(VLOOKUP(A70,'High Risk Non-Compliant'!B1:K1685,$H$48,FALSE)=0,"N/A",VLOOKUP(A70,'High Risk Non-Compliant'!B1:K1685,$H$48,FALSE))</f>
        <v>#N/A</v>
      </c>
      <c r="H70" s="266" t="str">
        <f>IF(G70="N/A","N/A",VLOOKUP(G70,'Crosswalk Detail'!A1:B958,2,FALSE))</f>
        <v>#N/A</v>
      </c>
      <c r="I70" s="6"/>
      <c r="J70" s="6"/>
      <c r="K70" s="6"/>
      <c r="L70" s="6"/>
      <c r="M70" s="6"/>
      <c r="N70" s="6"/>
      <c r="O70" s="6"/>
      <c r="P70" s="6"/>
      <c r="Q70" s="6"/>
      <c r="R70" s="6"/>
      <c r="S70" s="6"/>
      <c r="T70" s="6"/>
      <c r="U70" s="6"/>
      <c r="V70" s="6"/>
      <c r="W70" s="6"/>
      <c r="X70" s="6"/>
      <c r="Y70" s="6"/>
      <c r="Z70" s="6"/>
    </row>
    <row r="71" ht="144.0" customHeight="1">
      <c r="A71" s="268" t="str">
        <f>'High Risk Non-Compliant'!B27</f>
        <v>AAAI-06</v>
      </c>
      <c r="B71" s="164" t="str">
        <f>'High Risk Non-Compliant'!C27</f>
        <v>Are there any passwords/passphrases hard coded into your systems or products?</v>
      </c>
      <c r="C71" s="14"/>
      <c r="D71" s="269">
        <f>'High Risk Non-Compliant'!D27</f>
        <v>0</v>
      </c>
      <c r="E71" s="40"/>
      <c r="F71" s="14"/>
      <c r="G71" s="266" t="str">
        <f>IF(VLOOKUP(A71,'High Risk Non-Compliant'!B1:K1685,$H$48,FALSE)=0,"N/A",VLOOKUP(A71,'High Risk Non-Compliant'!B1:K1685,$H$48,FALSE))</f>
        <v>#N/A</v>
      </c>
      <c r="H71" s="266" t="str">
        <f>IF(G71="N/A","N/A",VLOOKUP(G71,'Crosswalk Detail'!A1:B958,2,FALSE))</f>
        <v>#N/A</v>
      </c>
      <c r="I71" s="6"/>
      <c r="J71" s="6"/>
      <c r="K71" s="6"/>
      <c r="L71" s="6"/>
      <c r="M71" s="6"/>
      <c r="N71" s="6"/>
      <c r="O71" s="6"/>
      <c r="P71" s="6"/>
      <c r="Q71" s="6"/>
      <c r="R71" s="6"/>
      <c r="S71" s="6"/>
      <c r="T71" s="6"/>
      <c r="U71" s="6"/>
      <c r="V71" s="6"/>
      <c r="W71" s="6"/>
      <c r="X71" s="6"/>
      <c r="Y71" s="6"/>
      <c r="Z71" s="6"/>
    </row>
    <row r="72" ht="144.0" customHeight="1">
      <c r="A72" s="268" t="str">
        <f>'High Risk Non-Compliant'!B28</f>
        <v>AAAI-07</v>
      </c>
      <c r="B72" s="164" t="str">
        <f>'High Risk Non-Compliant'!C28</f>
        <v>Are user account passwords/passphrases visible in administration modules?</v>
      </c>
      <c r="C72" s="14"/>
      <c r="D72" s="269">
        <f>'High Risk Non-Compliant'!D28</f>
        <v>0</v>
      </c>
      <c r="E72" s="40"/>
      <c r="F72" s="14"/>
      <c r="G72" s="266" t="str">
        <f>IF(VLOOKUP(A72,'High Risk Non-Compliant'!B1:K1685,$H$48,FALSE)=0,"N/A",VLOOKUP(A72,'High Risk Non-Compliant'!B1:K1685,$H$48,FALSE))</f>
        <v>#N/A</v>
      </c>
      <c r="H72" s="266" t="str">
        <f>IF(G72="N/A","N/A",VLOOKUP(G72,'Crosswalk Detail'!A1:B958,2,FALSE))</f>
        <v>#N/A</v>
      </c>
      <c r="I72" s="6"/>
      <c r="J72" s="6"/>
      <c r="K72" s="6"/>
      <c r="L72" s="6"/>
      <c r="M72" s="6"/>
      <c r="N72" s="6"/>
      <c r="O72" s="6"/>
      <c r="P72" s="6"/>
      <c r="Q72" s="6"/>
      <c r="R72" s="6"/>
      <c r="S72" s="6"/>
      <c r="T72" s="6"/>
      <c r="U72" s="6"/>
      <c r="V72" s="6"/>
      <c r="W72" s="6"/>
      <c r="X72" s="6"/>
      <c r="Y72" s="6"/>
      <c r="Z72" s="6"/>
    </row>
    <row r="73" ht="144.0" customHeight="1">
      <c r="A73" s="268" t="str">
        <f>'High Risk Non-Compliant'!B29</f>
        <v>AAAI-08</v>
      </c>
      <c r="B73" s="164" t="str">
        <f>'High Risk Non-Compliant'!C29</f>
        <v>Are user account passwords/passphrases stored encrypted?</v>
      </c>
      <c r="C73" s="14"/>
      <c r="D73" s="269">
        <f>'High Risk Non-Compliant'!D29</f>
        <v>0</v>
      </c>
      <c r="E73" s="40"/>
      <c r="F73" s="14"/>
      <c r="G73" s="266" t="str">
        <f>IF(VLOOKUP(A73,'High Risk Non-Compliant'!B1:K1685,$H$48,FALSE)=0,"N/A",VLOOKUP(A73,'High Risk Non-Compliant'!B1:K1685,$H$48,FALSE))</f>
        <v>#N/A</v>
      </c>
      <c r="H73" s="266" t="str">
        <f>IF(G73="N/A","N/A",VLOOKUP(G73,'Crosswalk Detail'!A1:B958,2,FALSE))</f>
        <v>#N/A</v>
      </c>
      <c r="I73" s="6"/>
      <c r="J73" s="6"/>
      <c r="K73" s="6"/>
      <c r="L73" s="6"/>
      <c r="M73" s="6"/>
      <c r="N73" s="6"/>
      <c r="O73" s="6"/>
      <c r="P73" s="6"/>
      <c r="Q73" s="6"/>
      <c r="R73" s="6"/>
      <c r="S73" s="6"/>
      <c r="T73" s="6"/>
      <c r="U73" s="6"/>
      <c r="V73" s="6"/>
      <c r="W73" s="6"/>
      <c r="X73" s="6"/>
      <c r="Y73" s="6"/>
      <c r="Z73" s="6"/>
    </row>
    <row r="74" ht="144.0" customHeight="1">
      <c r="A74" s="268" t="str">
        <f>'High Risk Non-Compliant'!B30</f>
        <v>AAAI-11</v>
      </c>
      <c r="B74" s="164" t="str">
        <f>'High Risk Non-Compliant'!C30</f>
        <v>Will any external authentication or authorization system be utilized by an application with access to the institution's data?</v>
      </c>
      <c r="C74" s="14"/>
      <c r="D74" s="269">
        <f>'High Risk Non-Compliant'!D30</f>
        <v>0</v>
      </c>
      <c r="E74" s="40"/>
      <c r="F74" s="14"/>
      <c r="G74" s="266" t="str">
        <f>IF(VLOOKUP(A74,'High Risk Non-Compliant'!B1:K1685,$H$48,FALSE)=0,"N/A",VLOOKUP(A74,'High Risk Non-Compliant'!B1:K1685,$H$48,FALSE))</f>
        <v>#N/A</v>
      </c>
      <c r="H74" s="266" t="str">
        <f>IF(G74="N/A","N/A",VLOOKUP(G74,'Crosswalk Detail'!A1:B958,2,FALSE))</f>
        <v>#N/A</v>
      </c>
      <c r="I74" s="6"/>
      <c r="J74" s="6"/>
      <c r="K74" s="6"/>
      <c r="L74" s="6"/>
      <c r="M74" s="6"/>
      <c r="N74" s="6"/>
      <c r="O74" s="6"/>
      <c r="P74" s="6"/>
      <c r="Q74" s="6"/>
      <c r="R74" s="6"/>
      <c r="S74" s="6"/>
      <c r="T74" s="6"/>
      <c r="U74" s="6"/>
      <c r="V74" s="6"/>
      <c r="W74" s="6"/>
      <c r="X74" s="6"/>
      <c r="Y74" s="6"/>
      <c r="Z74" s="6"/>
    </row>
    <row r="75" ht="144.0" customHeight="1">
      <c r="A75" s="268" t="str">
        <f>'High Risk Non-Compliant'!B31</f>
        <v>AAAI-13</v>
      </c>
      <c r="B75" s="164" t="str">
        <f>'High Risk Non-Compliant'!C31</f>
        <v>Does the system operate in a mixed authentication mode (i.e. external and local authentication)?</v>
      </c>
      <c r="C75" s="14"/>
      <c r="D75" s="269">
        <f>'High Risk Non-Compliant'!D31</f>
        <v>0</v>
      </c>
      <c r="E75" s="40"/>
      <c r="F75" s="14"/>
      <c r="G75" s="266" t="str">
        <f>IF(VLOOKUP(A75,'High Risk Non-Compliant'!B1:K1685,$H$48,FALSE)=0,"N/A",VLOOKUP(A75,'High Risk Non-Compliant'!B1:K1685,$H$48,FALSE))</f>
        <v>#N/A</v>
      </c>
      <c r="H75" s="266" t="str">
        <f>IF(G75="N/A","N/A",VLOOKUP(G75,'Crosswalk Detail'!A1:B958,2,FALSE))</f>
        <v>#N/A</v>
      </c>
      <c r="I75" s="6"/>
      <c r="J75" s="6"/>
      <c r="K75" s="6"/>
      <c r="L75" s="6"/>
      <c r="M75" s="6"/>
      <c r="N75" s="6"/>
      <c r="O75" s="6"/>
      <c r="P75" s="6"/>
      <c r="Q75" s="6"/>
      <c r="R75" s="6"/>
      <c r="S75" s="6"/>
      <c r="T75" s="6"/>
      <c r="U75" s="6"/>
      <c r="V75" s="6"/>
      <c r="W75" s="6"/>
      <c r="X75" s="6"/>
      <c r="Y75" s="6"/>
      <c r="Z75" s="6"/>
    </row>
    <row r="76" ht="144.0" customHeight="1">
      <c r="A76" s="268" t="str">
        <f>'High Risk Non-Compliant'!B32</f>
        <v>AAAI-14</v>
      </c>
      <c r="B76" s="164" t="str">
        <f>'High Risk Non-Compliant'!C32</f>
        <v>Will any external authentication or authorization system be utilized by a system with access to institution data?</v>
      </c>
      <c r="C76" s="14"/>
      <c r="D76" s="269">
        <f>'High Risk Non-Compliant'!D32</f>
        <v>0</v>
      </c>
      <c r="E76" s="40"/>
      <c r="F76" s="14"/>
      <c r="G76" s="266" t="str">
        <f>IF(VLOOKUP(A76,'High Risk Non-Compliant'!B1:K1685,$H$48,FALSE)=0,"N/A",VLOOKUP(A76,'High Risk Non-Compliant'!B1:K1685,$H$48,FALSE))</f>
        <v>#N/A</v>
      </c>
      <c r="H76" s="266" t="str">
        <f>IF(G76="N/A","N/A",VLOOKUP(G76,'Crosswalk Detail'!A1:B958,2,FALSE))</f>
        <v>#N/A</v>
      </c>
      <c r="I76" s="6"/>
      <c r="J76" s="6"/>
      <c r="K76" s="6"/>
      <c r="L76" s="6"/>
      <c r="M76" s="6"/>
      <c r="N76" s="6"/>
      <c r="O76" s="6"/>
      <c r="P76" s="6"/>
      <c r="Q76" s="6"/>
      <c r="R76" s="6"/>
      <c r="S76" s="6"/>
      <c r="T76" s="6"/>
      <c r="U76" s="6"/>
      <c r="V76" s="6"/>
      <c r="W76" s="6"/>
      <c r="X76" s="6"/>
      <c r="Y76" s="6"/>
      <c r="Z76" s="6"/>
    </row>
    <row r="77" ht="144.0" customHeight="1">
      <c r="A77" s="268" t="str">
        <f>'High Risk Non-Compliant'!B33</f>
        <v>AAAI-15</v>
      </c>
      <c r="B77" s="164" t="str">
        <f>'High Risk Non-Compliant'!C33</f>
        <v>Are audit logs available that include AT LEAST all of the following; login, logout, actions performed, and source IP address?</v>
      </c>
      <c r="C77" s="14"/>
      <c r="D77" s="269">
        <f>'High Risk Non-Compliant'!D33</f>
        <v>0</v>
      </c>
      <c r="E77" s="40"/>
      <c r="F77" s="14"/>
      <c r="G77" s="266" t="str">
        <f>IF(VLOOKUP(A77,'High Risk Non-Compliant'!B1:K1685,$H$48,FALSE)=0,"N/A",VLOOKUP(A77,'High Risk Non-Compliant'!B1:K1685,$H$48,FALSE))</f>
        <v>#N/A</v>
      </c>
      <c r="H77" s="266" t="str">
        <f>IF(G77="N/A","N/A",VLOOKUP(G77,'Crosswalk Detail'!A1:B958,2,FALSE))</f>
        <v>#N/A</v>
      </c>
      <c r="I77" s="6"/>
      <c r="J77" s="6"/>
      <c r="K77" s="6"/>
      <c r="L77" s="6"/>
      <c r="M77" s="6"/>
      <c r="N77" s="6"/>
      <c r="O77" s="6"/>
      <c r="P77" s="6"/>
      <c r="Q77" s="6"/>
      <c r="R77" s="6"/>
      <c r="S77" s="6"/>
      <c r="T77" s="6"/>
      <c r="U77" s="6"/>
      <c r="V77" s="6"/>
      <c r="W77" s="6"/>
      <c r="X77" s="6"/>
      <c r="Y77" s="6"/>
      <c r="Z77" s="6"/>
    </row>
    <row r="78" ht="144.0" customHeight="1">
      <c r="A78" s="268" t="str">
        <f>'High Risk Non-Compliant'!B34</f>
        <v>AAAI-16</v>
      </c>
      <c r="B78" s="164" t="str">
        <f>'High Risk Non-Compliant'!C34</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C78" s="14"/>
      <c r="D78" s="269">
        <f>'High Risk Non-Compliant'!D34</f>
        <v>0</v>
      </c>
      <c r="E78" s="40"/>
      <c r="F78" s="14"/>
      <c r="G78" s="266" t="str">
        <f>IF(VLOOKUP(A78,'High Risk Non-Compliant'!B1:K1685,$H$48,FALSE)=0,"N/A",VLOOKUP(A78,'High Risk Non-Compliant'!B1:K1685,$H$48,FALSE))</f>
        <v>#N/A</v>
      </c>
      <c r="H78" s="266" t="str">
        <f>IF(G78="N/A","N/A",VLOOKUP(G78,'Crosswalk Detail'!A1:B958,2,FALSE))</f>
        <v>#N/A</v>
      </c>
      <c r="I78" s="6"/>
      <c r="J78" s="6"/>
      <c r="K78" s="6"/>
      <c r="L78" s="6"/>
      <c r="M78" s="6"/>
      <c r="N78" s="6"/>
      <c r="O78" s="6"/>
      <c r="P78" s="6"/>
      <c r="Q78" s="6"/>
      <c r="R78" s="6"/>
      <c r="S78" s="6"/>
      <c r="T78" s="6"/>
      <c r="U78" s="6"/>
      <c r="V78" s="6"/>
      <c r="W78" s="6"/>
      <c r="X78" s="6"/>
      <c r="Y78" s="6"/>
      <c r="Z78" s="6"/>
    </row>
    <row r="79" ht="144.0" customHeight="1">
      <c r="A79" s="268" t="str">
        <f>'High Risk Non-Compliant'!B35</f>
        <v>BCPL-01</v>
      </c>
      <c r="B79" s="164" t="str">
        <f>'High Risk Non-Compliant'!C35</f>
        <v>Describe or provide a reference to your Business Continuity Plan (BCP).</v>
      </c>
      <c r="C79" s="14"/>
      <c r="D79" s="269">
        <f>'High Risk Non-Compliant'!D35</f>
        <v>0</v>
      </c>
      <c r="E79" s="40"/>
      <c r="F79" s="14"/>
      <c r="G79" s="266" t="str">
        <f>IF(VLOOKUP(A79,'High Risk Non-Compliant'!B1:K1685,$H$48,FALSE)=0,"N/A",VLOOKUP(A79,'High Risk Non-Compliant'!B1:K1685,$H$48,FALSE))</f>
        <v>#N/A</v>
      </c>
      <c r="H79" s="266" t="str">
        <f>IF(G79="N/A","N/A",VLOOKUP(G79,'Crosswalk Detail'!A1:B958,2,FALSE))</f>
        <v>#N/A</v>
      </c>
      <c r="I79" s="6"/>
      <c r="J79" s="6"/>
      <c r="K79" s="6"/>
      <c r="L79" s="6"/>
      <c r="M79" s="6"/>
      <c r="N79" s="6"/>
      <c r="O79" s="6"/>
      <c r="P79" s="6"/>
      <c r="Q79" s="6"/>
      <c r="R79" s="6"/>
      <c r="S79" s="6"/>
      <c r="T79" s="6"/>
      <c r="U79" s="6"/>
      <c r="V79" s="6"/>
      <c r="W79" s="6"/>
      <c r="X79" s="6"/>
      <c r="Y79" s="6"/>
      <c r="Z79" s="6"/>
    </row>
    <row r="80" ht="144.0" customHeight="1">
      <c r="A80" s="268" t="str">
        <f>'High Risk Non-Compliant'!B36</f>
        <v>BCPL-06</v>
      </c>
      <c r="B80" s="164" t="str">
        <f>'High Risk Non-Compliant'!C36</f>
        <v>Are all components of the BCP reviewed at least annually and updated as needed to reflect change? </v>
      </c>
      <c r="C80" s="14"/>
      <c r="D80" s="269">
        <f>'High Risk Non-Compliant'!D36</f>
        <v>0</v>
      </c>
      <c r="E80" s="40"/>
      <c r="F80" s="14"/>
      <c r="G80" s="266" t="str">
        <f>IF(VLOOKUP(A80,'High Risk Non-Compliant'!B1:K1685,$H$48,FALSE)=0,"N/A",VLOOKUP(A80,'High Risk Non-Compliant'!B1:K1685,$H$48,FALSE))</f>
        <v>#N/A</v>
      </c>
      <c r="H80" s="266" t="str">
        <f>IF(G80="N/A","N/A",VLOOKUP(G80,'Crosswalk Detail'!A1:B958,2,FALSE))</f>
        <v>#N/A</v>
      </c>
      <c r="I80" s="6"/>
      <c r="J80" s="6"/>
      <c r="K80" s="6"/>
      <c r="L80" s="6"/>
      <c r="M80" s="6"/>
      <c r="N80" s="6"/>
      <c r="O80" s="6"/>
      <c r="P80" s="6"/>
      <c r="Q80" s="6"/>
      <c r="R80" s="6"/>
      <c r="S80" s="6"/>
      <c r="T80" s="6"/>
      <c r="U80" s="6"/>
      <c r="V80" s="6"/>
      <c r="W80" s="6"/>
      <c r="X80" s="6"/>
      <c r="Y80" s="6"/>
      <c r="Z80" s="6"/>
    </row>
    <row r="81" ht="144.0" customHeight="1">
      <c r="A81" s="268" t="str">
        <f>'High Risk Non-Compliant'!B37</f>
        <v>BCPL-07</v>
      </c>
      <c r="B81" s="164" t="str">
        <f>'High Risk Non-Compliant'!C37</f>
        <v>Has your BCP been tested in the last year? </v>
      </c>
      <c r="C81" s="14"/>
      <c r="D81" s="269">
        <f>'High Risk Non-Compliant'!D37</f>
        <v>0</v>
      </c>
      <c r="E81" s="40"/>
      <c r="F81" s="14"/>
      <c r="G81" s="266" t="str">
        <f>IF(VLOOKUP(A81,'High Risk Non-Compliant'!B1:K1685,$H$48,FALSE)=0,"N/A",VLOOKUP(A81,'High Risk Non-Compliant'!B1:K1685,$H$48,FALSE))</f>
        <v>#N/A</v>
      </c>
      <c r="H81" s="266" t="str">
        <f>IF(G81="N/A","N/A",VLOOKUP(G81,'Crosswalk Detail'!A1:B958,2,FALSE))</f>
        <v>#N/A</v>
      </c>
      <c r="I81" s="6"/>
      <c r="J81" s="6"/>
      <c r="K81" s="6"/>
      <c r="L81" s="6"/>
      <c r="M81" s="6"/>
      <c r="N81" s="6"/>
      <c r="O81" s="6"/>
      <c r="P81" s="6"/>
      <c r="Q81" s="6"/>
      <c r="R81" s="6"/>
      <c r="S81" s="6"/>
      <c r="T81" s="6"/>
      <c r="U81" s="6"/>
      <c r="V81" s="6"/>
      <c r="W81" s="6"/>
      <c r="X81" s="6"/>
      <c r="Y81" s="6"/>
      <c r="Z81" s="6"/>
    </row>
    <row r="82" ht="144.0" customHeight="1">
      <c r="A82" s="268" t="str">
        <f>'High Risk Non-Compliant'!B38</f>
        <v>CHNG-01</v>
      </c>
      <c r="B82" s="164" t="str">
        <f>'High Risk Non-Compliant'!C38</f>
        <v>Do you have a documented and currently followed change management process (CMP)? </v>
      </c>
      <c r="C82" s="14"/>
      <c r="D82" s="269">
        <f>'High Risk Non-Compliant'!D38</f>
        <v>0</v>
      </c>
      <c r="E82" s="40"/>
      <c r="F82" s="14"/>
      <c r="G82" s="266" t="str">
        <f>IF(VLOOKUP(A82,'High Risk Non-Compliant'!B1:K1685,$H$48,FALSE)=0,"N/A",VLOOKUP(A82,'High Risk Non-Compliant'!B1:K1685,$H$48,FALSE))</f>
        <v>#N/A</v>
      </c>
      <c r="H82" s="266" t="str">
        <f>IF(G82="N/A","N/A",VLOOKUP(G82,'Crosswalk Detail'!A1:B958,2,FALSE))</f>
        <v>#N/A</v>
      </c>
      <c r="I82" s="6"/>
      <c r="J82" s="6"/>
      <c r="K82" s="6"/>
      <c r="L82" s="6"/>
      <c r="M82" s="6"/>
      <c r="N82" s="6"/>
      <c r="O82" s="6"/>
      <c r="P82" s="6"/>
      <c r="Q82" s="6"/>
      <c r="R82" s="6"/>
      <c r="S82" s="6"/>
      <c r="T82" s="6"/>
      <c r="U82" s="6"/>
      <c r="V82" s="6"/>
      <c r="W82" s="6"/>
      <c r="X82" s="6"/>
      <c r="Y82" s="6"/>
      <c r="Z82" s="6"/>
    </row>
    <row r="83" ht="144.0" customHeight="1">
      <c r="A83" s="268" t="str">
        <f>'High Risk Non-Compliant'!B39</f>
        <v>CHNG-05</v>
      </c>
      <c r="B83" s="164" t="str">
        <f>'High Risk Non-Compliant'!C39</f>
        <v>Describe or provide a reference to your solution support strategy in relation to maintaining software currency. (i.e. how many concurrent versions are you willing to run and support?)</v>
      </c>
      <c r="C83" s="14"/>
      <c r="D83" s="269">
        <f>'High Risk Non-Compliant'!D39</f>
        <v>0</v>
      </c>
      <c r="E83" s="40"/>
      <c r="F83" s="14"/>
      <c r="G83" s="266" t="str">
        <f>IF(VLOOKUP(A83,'High Risk Non-Compliant'!B1:K1685,$H$48,FALSE)=0,"N/A",VLOOKUP(A83,'High Risk Non-Compliant'!B1:K1685,$H$48,FALSE))</f>
        <v>#N/A</v>
      </c>
      <c r="H83" s="266" t="str">
        <f>IF(G83="N/A","N/A",VLOOKUP(G83,'Crosswalk Detail'!A1:B958,2,FALSE))</f>
        <v>#N/A</v>
      </c>
      <c r="I83" s="6"/>
      <c r="J83" s="6"/>
      <c r="K83" s="6"/>
      <c r="L83" s="6"/>
      <c r="M83" s="6"/>
      <c r="N83" s="6"/>
      <c r="O83" s="6"/>
      <c r="P83" s="6"/>
      <c r="Q83" s="6"/>
      <c r="R83" s="6"/>
      <c r="S83" s="6"/>
      <c r="T83" s="6"/>
      <c r="U83" s="6"/>
      <c r="V83" s="6"/>
      <c r="W83" s="6"/>
      <c r="X83" s="6"/>
      <c r="Y83" s="6"/>
      <c r="Z83" s="6"/>
    </row>
    <row r="84" ht="144.0" customHeight="1">
      <c r="A84" s="268" t="str">
        <f>'High Risk Non-Compliant'!B40</f>
        <v>CHNG-08</v>
      </c>
      <c r="B84" s="164" t="str">
        <f>'High Risk Non-Compliant'!C40</f>
        <v>Does your organization ensure through policy and procedure (that is currently implemented) that only application software verifiable as authorized, tested, and approved for production, and having met all other requirements and reviews necessary for commissioning, is placed into production?</v>
      </c>
      <c r="C84" s="14"/>
      <c r="D84" s="269">
        <f>'High Risk Non-Compliant'!D40</f>
        <v>0</v>
      </c>
      <c r="E84" s="40"/>
      <c r="F84" s="14"/>
      <c r="G84" s="266" t="str">
        <f>IF(VLOOKUP(A84,'High Risk Non-Compliant'!B1:K1685,$H$48,FALSE)=0,"N/A",VLOOKUP(A84,'High Risk Non-Compliant'!B1:K1685,$H$48,FALSE))</f>
        <v>#N/A</v>
      </c>
      <c r="H84" s="266" t="str">
        <f>IF(G84="N/A","N/A",VLOOKUP(G84,'Crosswalk Detail'!A1:B958,2,FALSE))</f>
        <v>#N/A</v>
      </c>
      <c r="I84" s="6"/>
      <c r="J84" s="6"/>
      <c r="K84" s="6"/>
      <c r="L84" s="6"/>
      <c r="M84" s="6"/>
      <c r="N84" s="6"/>
      <c r="O84" s="6"/>
      <c r="P84" s="6"/>
      <c r="Q84" s="6"/>
      <c r="R84" s="6"/>
      <c r="S84" s="6"/>
      <c r="T84" s="6"/>
      <c r="U84" s="6"/>
      <c r="V84" s="6"/>
      <c r="W84" s="6"/>
      <c r="X84" s="6"/>
      <c r="Y84" s="6"/>
      <c r="Z84" s="6"/>
    </row>
    <row r="85" ht="144.0" customHeight="1">
      <c r="A85" s="268" t="str">
        <f>'High Risk Non-Compliant'!B41</f>
        <v>DATA-01</v>
      </c>
      <c r="B85" s="164" t="str">
        <f>'High Risk Non-Compliant'!C41</f>
        <v>Do you physically and logically separate Institution's data from that of other customers?</v>
      </c>
      <c r="C85" s="14"/>
      <c r="D85" s="269">
        <f>'High Risk Non-Compliant'!D41</f>
        <v>0</v>
      </c>
      <c r="E85" s="40"/>
      <c r="F85" s="14"/>
      <c r="G85" s="266" t="str">
        <f>IF(VLOOKUP(A85,'High Risk Non-Compliant'!B1:K1685,$H$48,FALSE)=0,"N/A",VLOOKUP(A85,'High Risk Non-Compliant'!B1:K1685,$H$48,FALSE))</f>
        <v>#N/A</v>
      </c>
      <c r="H85" s="266" t="str">
        <f>IF(G85="N/A","N/A",VLOOKUP(G85,'Crosswalk Detail'!A1:B958,2,FALSE))</f>
        <v>#N/A</v>
      </c>
      <c r="I85" s="6"/>
      <c r="J85" s="6"/>
      <c r="K85" s="6"/>
      <c r="L85" s="6"/>
      <c r="M85" s="6"/>
      <c r="N85" s="6"/>
      <c r="O85" s="6"/>
      <c r="P85" s="6"/>
      <c r="Q85" s="6"/>
      <c r="R85" s="6"/>
      <c r="S85" s="6"/>
      <c r="T85" s="6"/>
      <c r="U85" s="6"/>
      <c r="V85" s="6"/>
      <c r="W85" s="6"/>
      <c r="X85" s="6"/>
      <c r="Y85" s="6"/>
      <c r="Z85" s="6"/>
    </row>
    <row r="86" ht="144.0" customHeight="1">
      <c r="A86" s="268" t="str">
        <f>'High Risk Non-Compliant'!B42</f>
        <v>DATA-03</v>
      </c>
      <c r="B86" s="164" t="str">
        <f>'High Risk Non-Compliant'!C42</f>
        <v>Is sensitive data encrypted in transport? (e.g. system-to-client)</v>
      </c>
      <c r="C86" s="14"/>
      <c r="D86" s="269">
        <f>'High Risk Non-Compliant'!D42</f>
        <v>0</v>
      </c>
      <c r="E86" s="40"/>
      <c r="F86" s="14"/>
      <c r="G86" s="266" t="str">
        <f>IF(VLOOKUP(A86,'High Risk Non-Compliant'!B1:K1685,$H$48,FALSE)=0,"N/A",VLOOKUP(A86,'High Risk Non-Compliant'!B1:K1685,$H$48,FALSE))</f>
        <v>#N/A</v>
      </c>
      <c r="H86" s="266" t="str">
        <f>IF(G86="N/A","N/A",VLOOKUP(G86,'Crosswalk Detail'!A1:B958,2,FALSE))</f>
        <v>#N/A</v>
      </c>
      <c r="I86" s="6"/>
      <c r="J86" s="6"/>
      <c r="K86" s="6"/>
      <c r="L86" s="6"/>
      <c r="M86" s="6"/>
      <c r="N86" s="6"/>
      <c r="O86" s="6"/>
      <c r="P86" s="6"/>
      <c r="Q86" s="6"/>
      <c r="R86" s="6"/>
      <c r="S86" s="6"/>
      <c r="T86" s="6"/>
      <c r="U86" s="6"/>
      <c r="V86" s="6"/>
      <c r="W86" s="6"/>
      <c r="X86" s="6"/>
      <c r="Y86" s="6"/>
      <c r="Z86" s="6"/>
    </row>
    <row r="87" ht="144.0" customHeight="1">
      <c r="A87" s="268" t="str">
        <f>'High Risk Non-Compliant'!B43</f>
        <v>DATA-04</v>
      </c>
      <c r="B87" s="164" t="str">
        <f>'High Risk Non-Compliant'!C43</f>
        <v>Is sensitive data encrypted in storage (e.g. disk encryption, at-rest)?</v>
      </c>
      <c r="C87" s="14"/>
      <c r="D87" s="269">
        <f>'High Risk Non-Compliant'!D43</f>
        <v>0</v>
      </c>
      <c r="E87" s="40"/>
      <c r="F87" s="14"/>
      <c r="G87" s="266" t="str">
        <f>IF(VLOOKUP(A87,'High Risk Non-Compliant'!B1:K1685,$H$48,FALSE)=0,"N/A",VLOOKUP(A87,'High Risk Non-Compliant'!B1:K1685,$H$48,FALSE))</f>
        <v>#N/A</v>
      </c>
      <c r="H87" s="266" t="str">
        <f>IF(G87="N/A","N/A",VLOOKUP(G87,'Crosswalk Detail'!A1:B958,2,FALSE))</f>
        <v>#N/A</v>
      </c>
      <c r="I87" s="6"/>
      <c r="J87" s="6"/>
      <c r="K87" s="6"/>
      <c r="L87" s="6"/>
      <c r="M87" s="6"/>
      <c r="N87" s="6"/>
      <c r="O87" s="6"/>
      <c r="P87" s="6"/>
      <c r="Q87" s="6"/>
      <c r="R87" s="6"/>
      <c r="S87" s="6"/>
      <c r="T87" s="6"/>
      <c r="U87" s="6"/>
      <c r="V87" s="6"/>
      <c r="W87" s="6"/>
      <c r="X87" s="6"/>
      <c r="Y87" s="6"/>
      <c r="Z87" s="6"/>
    </row>
    <row r="88" ht="144.0" customHeight="1">
      <c r="A88" s="268" t="str">
        <f>'High Risk Non-Compliant'!B44</f>
        <v>DATA-05</v>
      </c>
      <c r="B88" s="164" t="str">
        <f>'High Risk Non-Compliant'!C44</f>
        <v>Do you employ or allow any cryptographic modules that do not conform to the Federal Information Processing Standards (FIPS PUB 140-2)?</v>
      </c>
      <c r="C88" s="14"/>
      <c r="D88" s="269">
        <f>'High Risk Non-Compliant'!D44</f>
        <v>0</v>
      </c>
      <c r="E88" s="40"/>
      <c r="F88" s="14"/>
      <c r="G88" s="266" t="str">
        <f>IF(VLOOKUP(A88,'High Risk Non-Compliant'!B1:K1685,$H$48,FALSE)=0,"N/A",VLOOKUP(A88,'High Risk Non-Compliant'!B1:K1685,$H$48,FALSE))</f>
        <v>#N/A</v>
      </c>
      <c r="H88" s="266" t="str">
        <f>IF(G88="N/A","N/A",VLOOKUP(G88,'Crosswalk Detail'!A1:B958,2,FALSE))</f>
        <v>#N/A</v>
      </c>
      <c r="I88" s="6"/>
      <c r="J88" s="6"/>
      <c r="K88" s="6"/>
      <c r="L88" s="6"/>
      <c r="M88" s="6"/>
      <c r="N88" s="6"/>
      <c r="O88" s="6"/>
      <c r="P88" s="6"/>
      <c r="Q88" s="6"/>
      <c r="R88" s="6"/>
      <c r="S88" s="6"/>
      <c r="T88" s="6"/>
      <c r="U88" s="6"/>
      <c r="V88" s="6"/>
      <c r="W88" s="6"/>
      <c r="X88" s="6"/>
      <c r="Y88" s="6"/>
      <c r="Z88" s="6"/>
    </row>
    <row r="89" ht="144.0" customHeight="1">
      <c r="A89" s="268" t="str">
        <f>'High Risk Non-Compliant'!B45</f>
        <v>DATA-06</v>
      </c>
      <c r="B89" s="164" t="str">
        <f>'High Risk Non-Compliant'!C45</f>
        <v>Does your system employ encryption technologies when transmitting sensitive information over TCP/IP networks (e.g., SSH, SSL/TLS, VPN)? (e.g. system-to-system and system-to-client)</v>
      </c>
      <c r="C89" s="14"/>
      <c r="D89" s="269">
        <f>'High Risk Non-Compliant'!D45</f>
        <v>0</v>
      </c>
      <c r="E89" s="40"/>
      <c r="F89" s="14"/>
      <c r="G89" s="266" t="str">
        <f>IF(VLOOKUP(A89,'High Risk Non-Compliant'!B1:K1685,$H$48,FALSE)=0,"N/A",VLOOKUP(A89,'High Risk Non-Compliant'!B1:K1685,$H$48,FALSE))</f>
        <v>#N/A</v>
      </c>
      <c r="H89" s="266" t="str">
        <f>IF(G89="N/A","N/A",VLOOKUP(G89,'Crosswalk Detail'!A1:B958,2,FALSE))</f>
        <v>#N/A</v>
      </c>
      <c r="I89" s="6"/>
      <c r="J89" s="6"/>
      <c r="K89" s="6"/>
      <c r="L89" s="6"/>
      <c r="M89" s="6"/>
      <c r="N89" s="6"/>
      <c r="O89" s="6"/>
      <c r="P89" s="6"/>
      <c r="Q89" s="6"/>
      <c r="R89" s="6"/>
      <c r="S89" s="6"/>
      <c r="T89" s="6"/>
      <c r="U89" s="6"/>
      <c r="V89" s="6"/>
      <c r="W89" s="6"/>
      <c r="X89" s="6"/>
      <c r="Y89" s="6"/>
      <c r="Z89" s="6"/>
    </row>
    <row r="90" ht="144.0" customHeight="1">
      <c r="A90" s="268" t="str">
        <f>'High Risk Non-Compliant'!B46</f>
        <v>DATA-08</v>
      </c>
      <c r="B90" s="164" t="str">
        <f>'High Risk Non-Compliant'!C46</f>
        <v>At the completion of this contract, will data be returned to the institution?</v>
      </c>
      <c r="C90" s="14"/>
      <c r="D90" s="269">
        <f>'High Risk Non-Compliant'!D46</f>
        <v>0</v>
      </c>
      <c r="E90" s="40"/>
      <c r="F90" s="14"/>
      <c r="G90" s="266" t="str">
        <f>IF(VLOOKUP(A90,'High Risk Non-Compliant'!B1:K1685,$H$48,FALSE)=0,"N/A",VLOOKUP(A90,'High Risk Non-Compliant'!B1:K1685,$H$48,FALSE))</f>
        <v>#N/A</v>
      </c>
      <c r="H90" s="266" t="str">
        <f>IF(G90="N/A","N/A",VLOOKUP(G90,'Crosswalk Detail'!A1:B958,2,FALSE))</f>
        <v>#N/A</v>
      </c>
      <c r="I90" s="6"/>
      <c r="J90" s="6"/>
      <c r="K90" s="6"/>
      <c r="L90" s="6"/>
      <c r="M90" s="6"/>
      <c r="N90" s="6"/>
      <c r="O90" s="6"/>
      <c r="P90" s="6"/>
      <c r="Q90" s="6"/>
      <c r="R90" s="6"/>
      <c r="S90" s="6"/>
      <c r="T90" s="6"/>
      <c r="U90" s="6"/>
      <c r="V90" s="6"/>
      <c r="W90" s="6"/>
      <c r="X90" s="6"/>
      <c r="Y90" s="6"/>
      <c r="Z90" s="6"/>
    </row>
    <row r="91" ht="144.0" customHeight="1">
      <c r="A91" s="268" t="str">
        <f>'High Risk Non-Compliant'!B47</f>
        <v>DATA-11</v>
      </c>
      <c r="B91" s="164" t="str">
        <f>'High Risk Non-Compliant'!C47</f>
        <v>Are ownership rights to all data, inputs, outputs, and metadata retained by the institution?</v>
      </c>
      <c r="C91" s="14"/>
      <c r="D91" s="269">
        <f>'High Risk Non-Compliant'!D47</f>
        <v>0</v>
      </c>
      <c r="E91" s="40"/>
      <c r="F91" s="14"/>
      <c r="G91" s="266" t="str">
        <f>IF(VLOOKUP(A91,'High Risk Non-Compliant'!B1:K1685,$H$48,FALSE)=0,"N/A",VLOOKUP(A91,'High Risk Non-Compliant'!B1:K1685,$H$48,FALSE))</f>
        <v>#N/A</v>
      </c>
      <c r="H91" s="266" t="str">
        <f>IF(G91="N/A","N/A",VLOOKUP(G91,'Crosswalk Detail'!A1:B958,2,FALSE))</f>
        <v>#N/A</v>
      </c>
      <c r="I91" s="6"/>
      <c r="J91" s="6"/>
      <c r="K91" s="6"/>
      <c r="L91" s="6"/>
      <c r="M91" s="6"/>
      <c r="N91" s="6"/>
      <c r="O91" s="6"/>
      <c r="P91" s="6"/>
      <c r="Q91" s="6"/>
      <c r="R91" s="6"/>
      <c r="S91" s="6"/>
      <c r="T91" s="6"/>
      <c r="U91" s="6"/>
      <c r="V91" s="6"/>
      <c r="W91" s="6"/>
      <c r="X91" s="6"/>
      <c r="Y91" s="6"/>
      <c r="Z91" s="6"/>
    </row>
    <row r="92" ht="144.0" customHeight="1">
      <c r="A92" s="268" t="str">
        <f>'High Risk Non-Compliant'!B48</f>
        <v>DATA-17</v>
      </c>
      <c r="B92" s="164" t="str">
        <f>'High Risk Non-Compliant'!C48</f>
        <v>Are data backups encrypted?</v>
      </c>
      <c r="C92" s="14"/>
      <c r="D92" s="269">
        <f>'High Risk Non-Compliant'!D48</f>
        <v>0</v>
      </c>
      <c r="E92" s="40"/>
      <c r="F92" s="14"/>
      <c r="G92" s="266" t="str">
        <f>IF(VLOOKUP(A92,'High Risk Non-Compliant'!B1:K1685,$H$48,FALSE)=0,"N/A",VLOOKUP(A92,'High Risk Non-Compliant'!B1:K1685,$H$48,FALSE))</f>
        <v>#N/A</v>
      </c>
      <c r="H92" s="266" t="str">
        <f>IF(G92="N/A","N/A",VLOOKUP(G92,'Crosswalk Detail'!A1:B958,2,FALSE))</f>
        <v>#N/A</v>
      </c>
      <c r="I92" s="6"/>
      <c r="J92" s="6"/>
      <c r="K92" s="6"/>
      <c r="L92" s="6"/>
      <c r="M92" s="6"/>
      <c r="N92" s="6"/>
      <c r="O92" s="6"/>
      <c r="P92" s="6"/>
      <c r="Q92" s="6"/>
      <c r="R92" s="6"/>
      <c r="S92" s="6"/>
      <c r="T92" s="6"/>
      <c r="U92" s="6"/>
      <c r="V92" s="6"/>
      <c r="W92" s="6"/>
      <c r="X92" s="6"/>
      <c r="Y92" s="6"/>
      <c r="Z92" s="6"/>
    </row>
    <row r="93" ht="144.0" customHeight="1">
      <c r="A93" s="268" t="str">
        <f>'High Risk Non-Compliant'!B49</f>
        <v>DATA-23</v>
      </c>
      <c r="B93" s="164" t="str">
        <f>'High Risk Non-Compliant'!C49</f>
        <v>Do you have a media handling process, that is documented and currently implemented, including end-of-life, repurposing, and data sanitization procedures?</v>
      </c>
      <c r="C93" s="14"/>
      <c r="D93" s="269">
        <f>'High Risk Non-Compliant'!D49</f>
        <v>0</v>
      </c>
      <c r="E93" s="40"/>
      <c r="F93" s="14"/>
      <c r="G93" s="266" t="str">
        <f>IF(VLOOKUP(A93,'High Risk Non-Compliant'!B1:K1685,$H$48,FALSE)=0,"N/A",VLOOKUP(A93,'High Risk Non-Compliant'!B1:K1685,$H$48,FALSE))</f>
        <v>#N/A</v>
      </c>
      <c r="H93" s="266" t="str">
        <f>IF(G93="N/A","N/A",VLOOKUP(G93,'Crosswalk Detail'!A1:B958,2,FALSE))</f>
        <v>#N/A</v>
      </c>
      <c r="I93" s="6"/>
      <c r="J93" s="6"/>
      <c r="K93" s="6"/>
      <c r="L93" s="6"/>
      <c r="M93" s="6"/>
      <c r="N93" s="6"/>
      <c r="O93" s="6"/>
      <c r="P93" s="6"/>
      <c r="Q93" s="6"/>
      <c r="R93" s="6"/>
      <c r="S93" s="6"/>
      <c r="T93" s="6"/>
      <c r="U93" s="6"/>
      <c r="V93" s="6"/>
      <c r="W93" s="6"/>
      <c r="X93" s="6"/>
      <c r="Y93" s="6"/>
      <c r="Z93" s="6"/>
    </row>
    <row r="94" ht="144.0" customHeight="1">
      <c r="A94" s="268" t="str">
        <f>'High Risk Non-Compliant'!B50</f>
        <v>DATA-28</v>
      </c>
      <c r="B94" s="164" t="str">
        <f>'High Risk Non-Compliant'!C50</f>
        <v>Is any institution data visible in system administration modules/tools?</v>
      </c>
      <c r="C94" s="14"/>
      <c r="D94" s="269">
        <f>'High Risk Non-Compliant'!D50</f>
        <v>0</v>
      </c>
      <c r="E94" s="40"/>
      <c r="F94" s="14"/>
      <c r="G94" s="266" t="str">
        <f>IF(VLOOKUP(A94,'High Risk Non-Compliant'!B1:K1685,$H$48,FALSE)=0,"N/A",VLOOKUP(A94,'High Risk Non-Compliant'!B1:K1685,$H$48,FALSE))</f>
        <v>#N/A</v>
      </c>
      <c r="H94" s="266" t="str">
        <f>IF(G94="N/A","N/A",VLOOKUP(G94,'Crosswalk Detail'!A1:B958,2,FALSE))</f>
        <v>#N/A</v>
      </c>
      <c r="I94" s="6"/>
      <c r="J94" s="6"/>
      <c r="K94" s="6"/>
      <c r="L94" s="6"/>
      <c r="M94" s="6"/>
      <c r="N94" s="6"/>
      <c r="O94" s="6"/>
      <c r="P94" s="6"/>
      <c r="Q94" s="6"/>
      <c r="R94" s="6"/>
      <c r="S94" s="6"/>
      <c r="T94" s="6"/>
      <c r="U94" s="6"/>
      <c r="V94" s="6"/>
      <c r="W94" s="6"/>
      <c r="X94" s="6"/>
      <c r="Y94" s="6"/>
      <c r="Z94" s="6"/>
    </row>
    <row r="95" ht="144.0" customHeight="1">
      <c r="A95" s="268" t="str">
        <f>'High Risk Non-Compliant'!B51</f>
        <v>DBAS-01</v>
      </c>
      <c r="B95" s="164" t="str">
        <f>'High Risk Non-Compliant'!C51</f>
        <v>Does the database support encryption of specified data elements in storage?</v>
      </c>
      <c r="C95" s="14"/>
      <c r="D95" s="269">
        <f>'High Risk Non-Compliant'!D51</f>
        <v>0</v>
      </c>
      <c r="E95" s="40"/>
      <c r="F95" s="14"/>
      <c r="G95" s="266" t="str">
        <f>IF(VLOOKUP(A95,'High Risk Non-Compliant'!B1:K1685,$H$48,FALSE)=0,"N/A",VLOOKUP(A95,'High Risk Non-Compliant'!B1:K1685,$H$48,FALSE))</f>
        <v>#N/A</v>
      </c>
      <c r="H95" s="266" t="str">
        <f>IF(G95="N/A","N/A",VLOOKUP(G95,'Crosswalk Detail'!A1:B958,2,FALSE))</f>
        <v>#N/A</v>
      </c>
      <c r="I95" s="6"/>
      <c r="J95" s="6"/>
      <c r="K95" s="6"/>
      <c r="L95" s="6"/>
      <c r="M95" s="6"/>
      <c r="N95" s="6"/>
      <c r="O95" s="6"/>
      <c r="P95" s="6"/>
      <c r="Q95" s="6"/>
      <c r="R95" s="6"/>
      <c r="S95" s="6"/>
      <c r="T95" s="6"/>
      <c r="U95" s="6"/>
      <c r="V95" s="6"/>
      <c r="W95" s="6"/>
      <c r="X95" s="6"/>
      <c r="Y95" s="6"/>
      <c r="Z95" s="6"/>
    </row>
    <row r="96" ht="144.0" customHeight="1">
      <c r="A96" s="268" t="str">
        <f>'High Risk Non-Compliant'!B52</f>
        <v>DBAS-02</v>
      </c>
      <c r="B96" s="164" t="str">
        <f>'High Risk Non-Compliant'!C52</f>
        <v>Do you currently use encryption in your database(s)?</v>
      </c>
      <c r="C96" s="14"/>
      <c r="D96" s="269">
        <f>'High Risk Non-Compliant'!D52</f>
        <v>0</v>
      </c>
      <c r="E96" s="40"/>
      <c r="F96" s="14"/>
      <c r="G96" s="266" t="str">
        <f>IF(VLOOKUP(A96,'High Risk Non-Compliant'!B1:K1685,$H$48,FALSE)=0,"N/A",VLOOKUP(A96,'High Risk Non-Compliant'!B1:K1685,$H$48,FALSE))</f>
        <v>#N/A</v>
      </c>
      <c r="H96" s="266" t="str">
        <f>IF(G96="N/A","N/A",VLOOKUP(G96,'Crosswalk Detail'!A1:B958,2,FALSE))</f>
        <v>#N/A</v>
      </c>
      <c r="I96" s="6"/>
      <c r="J96" s="6"/>
      <c r="K96" s="6"/>
      <c r="L96" s="6"/>
      <c r="M96" s="6"/>
      <c r="N96" s="6"/>
      <c r="O96" s="6"/>
      <c r="P96" s="6"/>
      <c r="Q96" s="6"/>
      <c r="R96" s="6"/>
      <c r="S96" s="6"/>
      <c r="T96" s="6"/>
      <c r="U96" s="6"/>
      <c r="V96" s="6"/>
      <c r="W96" s="6"/>
      <c r="X96" s="6"/>
      <c r="Y96" s="6"/>
      <c r="Z96" s="6"/>
    </row>
    <row r="97" ht="144.0" customHeight="1">
      <c r="A97" s="268" t="str">
        <f>'High Risk Non-Compliant'!B53</f>
        <v>DCTR-04</v>
      </c>
      <c r="B97" s="164" t="str">
        <f>'High Risk Non-Compliant'!C53</f>
        <v>Do any of your servers reside in a co-located data center?</v>
      </c>
      <c r="C97" s="14"/>
      <c r="D97" s="269">
        <f>'High Risk Non-Compliant'!D53</f>
        <v>0</v>
      </c>
      <c r="E97" s="40"/>
      <c r="F97" s="14"/>
      <c r="G97" s="266" t="str">
        <f>IF(VLOOKUP(A97,'High Risk Non-Compliant'!B1:K1685,$H$48,FALSE)=0,"N/A",VLOOKUP(A97,'High Risk Non-Compliant'!B1:K1685,$H$48,FALSE))</f>
        <v>#N/A</v>
      </c>
      <c r="H97" s="266" t="str">
        <f>IF(G97="N/A","N/A",VLOOKUP(G97,'Crosswalk Detail'!A1:B958,2,FALSE))</f>
        <v>#N/A</v>
      </c>
      <c r="I97" s="6"/>
      <c r="J97" s="6"/>
      <c r="K97" s="6"/>
      <c r="L97" s="6"/>
      <c r="M97" s="6"/>
      <c r="N97" s="6"/>
      <c r="O97" s="6"/>
      <c r="P97" s="6"/>
      <c r="Q97" s="6"/>
      <c r="R97" s="6"/>
      <c r="S97" s="6"/>
      <c r="T97" s="6"/>
      <c r="U97" s="6"/>
      <c r="V97" s="6"/>
      <c r="W97" s="6"/>
      <c r="X97" s="6"/>
      <c r="Y97" s="6"/>
      <c r="Z97" s="6"/>
    </row>
    <row r="98" ht="144.0" customHeight="1">
      <c r="A98" s="268" t="str">
        <f>'High Risk Non-Compliant'!B54</f>
        <v>DCTR-09</v>
      </c>
      <c r="B98" s="164" t="str">
        <f>'High Risk Non-Compliant'!C54</f>
        <v>Will any institution data leave the Institution's Data Zone?</v>
      </c>
      <c r="C98" s="14"/>
      <c r="D98" s="269">
        <f>'High Risk Non-Compliant'!D54</f>
        <v>0</v>
      </c>
      <c r="E98" s="40"/>
      <c r="F98" s="14"/>
      <c r="G98" s="266" t="str">
        <f>IF(VLOOKUP(A98,'High Risk Non-Compliant'!B1:K1685,$H$48,FALSE)=0,"N/A",VLOOKUP(A98,'High Risk Non-Compliant'!B1:K1685,$H$48,FALSE))</f>
        <v>#N/A</v>
      </c>
      <c r="H98" s="266" t="str">
        <f>IF(G98="N/A","N/A",VLOOKUP(G98,'Crosswalk Detail'!A1:B958,2,FALSE))</f>
        <v>#N/A</v>
      </c>
      <c r="I98" s="6"/>
      <c r="J98" s="6"/>
      <c r="K98" s="6"/>
      <c r="L98" s="6"/>
      <c r="M98" s="6"/>
      <c r="N98" s="6"/>
      <c r="O98" s="6"/>
      <c r="P98" s="6"/>
      <c r="Q98" s="6"/>
      <c r="R98" s="6"/>
      <c r="S98" s="6"/>
      <c r="T98" s="6"/>
      <c r="U98" s="6"/>
      <c r="V98" s="6"/>
      <c r="W98" s="6"/>
      <c r="X98" s="6"/>
      <c r="Y98" s="6"/>
      <c r="Z98" s="6"/>
    </row>
    <row r="99" ht="144.0" customHeight="1">
      <c r="A99" s="268" t="str">
        <f>'High Risk Non-Compliant'!B55</f>
        <v>DRPL-01</v>
      </c>
      <c r="B99" s="164" t="str">
        <f>'High Risk Non-Compliant'!C55</f>
        <v>Describe or provide a reference to your Disaster Recovery Plan (DRP).</v>
      </c>
      <c r="C99" s="14"/>
      <c r="D99" s="269">
        <f>'High Risk Non-Compliant'!D55</f>
        <v>0</v>
      </c>
      <c r="E99" s="40"/>
      <c r="F99" s="14"/>
      <c r="G99" s="266" t="str">
        <f>IF(VLOOKUP(A99,'High Risk Non-Compliant'!B1:K1685,$H$48,FALSE)=0,"N/A",VLOOKUP(A99,'High Risk Non-Compliant'!B1:K1685,$H$48,FALSE))</f>
        <v>#N/A</v>
      </c>
      <c r="H99" s="266" t="str">
        <f>IF(G99="N/A","N/A",VLOOKUP(G99,'Crosswalk Detail'!A1:B958,2,FALSE))</f>
        <v>#N/A</v>
      </c>
      <c r="I99" s="6"/>
      <c r="J99" s="6"/>
      <c r="K99" s="6"/>
      <c r="L99" s="6"/>
      <c r="M99" s="6"/>
      <c r="N99" s="6"/>
      <c r="O99" s="6"/>
      <c r="P99" s="6"/>
      <c r="Q99" s="6"/>
      <c r="R99" s="6"/>
      <c r="S99" s="6"/>
      <c r="T99" s="6"/>
      <c r="U99" s="6"/>
      <c r="V99" s="6"/>
      <c r="W99" s="6"/>
      <c r="X99" s="6"/>
      <c r="Y99" s="6"/>
      <c r="Z99" s="6"/>
    </row>
    <row r="100" ht="144.0" customHeight="1">
      <c r="A100" s="268" t="str">
        <f>'High Risk Non-Compliant'!B56</f>
        <v>DRPL-07</v>
      </c>
      <c r="B100" s="164" t="str">
        <f>'High Risk Non-Compliant'!C56</f>
        <v>Is there a defined problem/issue escalation plan in your DRP for impacted clients?</v>
      </c>
      <c r="C100" s="14"/>
      <c r="D100" s="269">
        <f>'High Risk Non-Compliant'!D56</f>
        <v>0</v>
      </c>
      <c r="E100" s="40"/>
      <c r="F100" s="14"/>
      <c r="G100" s="266" t="str">
        <f>IF(VLOOKUP(A100,'High Risk Non-Compliant'!B1:K1685,$H$48,FALSE)=0,"N/A",VLOOKUP(A100,'High Risk Non-Compliant'!B1:K1685,$H$48,FALSE))</f>
        <v>#N/A</v>
      </c>
      <c r="H100" s="266" t="str">
        <f>IF(G100="N/A","N/A",VLOOKUP(G100,'Crosswalk Detail'!A1:B958,2,FALSE))</f>
        <v>#N/A</v>
      </c>
      <c r="I100" s="6"/>
      <c r="J100" s="6"/>
      <c r="K100" s="6"/>
      <c r="L100" s="6"/>
      <c r="M100" s="6"/>
      <c r="N100" s="6"/>
      <c r="O100" s="6"/>
      <c r="P100" s="6"/>
      <c r="Q100" s="6"/>
      <c r="R100" s="6"/>
      <c r="S100" s="6"/>
      <c r="T100" s="6"/>
      <c r="U100" s="6"/>
      <c r="V100" s="6"/>
      <c r="W100" s="6"/>
      <c r="X100" s="6"/>
      <c r="Y100" s="6"/>
      <c r="Z100" s="6"/>
    </row>
    <row r="101" ht="144.0" customHeight="1">
      <c r="A101" s="268" t="str">
        <f>'High Risk Non-Compliant'!B57</f>
        <v>FIDP-01</v>
      </c>
      <c r="B101" s="164" t="str">
        <f>'High Risk Non-Compliant'!C57</f>
        <v>Are you utilizing a web application firewall (WAF)?</v>
      </c>
      <c r="C101" s="14"/>
      <c r="D101" s="269">
        <f>'High Risk Non-Compliant'!D57</f>
        <v>0</v>
      </c>
      <c r="E101" s="40"/>
      <c r="F101" s="14"/>
      <c r="G101" s="266" t="str">
        <f>IF(VLOOKUP(A101,'High Risk Non-Compliant'!B1:K1685,$H$48,FALSE)=0,"N/A",VLOOKUP(A101,'High Risk Non-Compliant'!B1:K1685,$H$48,FALSE))</f>
        <v>#N/A</v>
      </c>
      <c r="H101" s="266" t="str">
        <f>IF(G101="N/A","N/A",VLOOKUP(G101,'Crosswalk Detail'!A1:B958,2,FALSE))</f>
        <v>#N/A</v>
      </c>
      <c r="I101" s="6"/>
      <c r="J101" s="6"/>
      <c r="K101" s="6"/>
      <c r="L101" s="6"/>
      <c r="M101" s="6"/>
      <c r="N101" s="6"/>
      <c r="O101" s="6"/>
      <c r="P101" s="6"/>
      <c r="Q101" s="6"/>
      <c r="R101" s="6"/>
      <c r="S101" s="6"/>
      <c r="T101" s="6"/>
      <c r="U101" s="6"/>
      <c r="V101" s="6"/>
      <c r="W101" s="6"/>
      <c r="X101" s="6"/>
      <c r="Y101" s="6"/>
      <c r="Z101" s="6"/>
    </row>
    <row r="102" ht="144.0" customHeight="1">
      <c r="A102" s="268" t="str">
        <f>'High Risk Non-Compliant'!B58</f>
        <v>FIDP-02</v>
      </c>
      <c r="B102" s="164" t="str">
        <f>'High Risk Non-Compliant'!C58</f>
        <v>Are you utilizing a stateful packet inspection (SPI) firewall?</v>
      </c>
      <c r="C102" s="14"/>
      <c r="D102" s="269">
        <f>'High Risk Non-Compliant'!D58</f>
        <v>0</v>
      </c>
      <c r="E102" s="40"/>
      <c r="F102" s="14"/>
      <c r="G102" s="266" t="str">
        <f>IF(VLOOKUP(A102,'High Risk Non-Compliant'!B1:K1685,$H$48,FALSE)=0,"N/A",VLOOKUP(A102,'High Risk Non-Compliant'!B1:K1685,$H$48,FALSE))</f>
        <v>#N/A</v>
      </c>
      <c r="H102" s="266" t="str">
        <f>IF(G102="N/A","N/A",VLOOKUP(G102,'Crosswalk Detail'!A1:B958,2,FALSE))</f>
        <v>#N/A</v>
      </c>
      <c r="I102" s="6"/>
      <c r="J102" s="6"/>
      <c r="K102" s="6"/>
      <c r="L102" s="6"/>
      <c r="M102" s="6"/>
      <c r="N102" s="6"/>
      <c r="O102" s="6"/>
      <c r="P102" s="6"/>
      <c r="Q102" s="6"/>
      <c r="R102" s="6"/>
      <c r="S102" s="6"/>
      <c r="T102" s="6"/>
      <c r="U102" s="6"/>
      <c r="V102" s="6"/>
      <c r="W102" s="6"/>
      <c r="X102" s="6"/>
      <c r="Y102" s="6"/>
      <c r="Z102" s="6"/>
    </row>
    <row r="103" ht="144.0" customHeight="1">
      <c r="A103" s="268" t="str">
        <f>'High Risk Non-Compliant'!B59</f>
        <v>FIDP-04</v>
      </c>
      <c r="B103" s="164" t="str">
        <f>'High Risk Non-Compliant'!C59</f>
        <v>Do you have a documented policy for firewall change requests?</v>
      </c>
      <c r="C103" s="14"/>
      <c r="D103" s="269">
        <f>'High Risk Non-Compliant'!D59</f>
        <v>0</v>
      </c>
      <c r="E103" s="40"/>
      <c r="F103" s="14"/>
      <c r="G103" s="266" t="str">
        <f>IF(VLOOKUP(A103,'High Risk Non-Compliant'!B1:K1685,$H$48,FALSE)=0,"N/A",VLOOKUP(A103,'High Risk Non-Compliant'!B1:K1685,$H$48,FALSE))</f>
        <v>#N/A</v>
      </c>
      <c r="H103" s="266" t="str">
        <f>IF(G103="N/A","N/A",VLOOKUP(G103,'Crosswalk Detail'!A1:B958,2,FALSE))</f>
        <v>#N/A</v>
      </c>
      <c r="I103" s="6"/>
      <c r="J103" s="6"/>
      <c r="K103" s="6"/>
      <c r="L103" s="6"/>
      <c r="M103" s="6"/>
      <c r="N103" s="6"/>
      <c r="O103" s="6"/>
      <c r="P103" s="6"/>
      <c r="Q103" s="6"/>
      <c r="R103" s="6"/>
      <c r="S103" s="6"/>
      <c r="T103" s="6"/>
      <c r="U103" s="6"/>
      <c r="V103" s="6"/>
      <c r="W103" s="6"/>
      <c r="X103" s="6"/>
      <c r="Y103" s="6"/>
      <c r="Z103" s="6"/>
    </row>
    <row r="104" ht="144.0" customHeight="1">
      <c r="A104" s="268" t="str">
        <f>'High Risk Non-Compliant'!B60</f>
        <v>FIDP-05</v>
      </c>
      <c r="B104" s="164" t="str">
        <f>'High Risk Non-Compliant'!C60</f>
        <v>Have you implemented an Intrusion Detection System (network-based)?</v>
      </c>
      <c r="C104" s="14"/>
      <c r="D104" s="269">
        <f>'High Risk Non-Compliant'!D60</f>
        <v>0</v>
      </c>
      <c r="E104" s="40"/>
      <c r="F104" s="14"/>
      <c r="G104" s="266" t="str">
        <f>IF(VLOOKUP(A104,'High Risk Non-Compliant'!B1:K1685,$H$48,FALSE)=0,"N/A",VLOOKUP(A104,'High Risk Non-Compliant'!B1:K1685,$H$48,FALSE))</f>
        <v>#N/A</v>
      </c>
      <c r="H104" s="266" t="str">
        <f>IF(G104="N/A","N/A",VLOOKUP(G104,'Crosswalk Detail'!A1:B958,2,FALSE))</f>
        <v>#N/A</v>
      </c>
      <c r="I104" s="6"/>
      <c r="J104" s="6"/>
      <c r="K104" s="6"/>
      <c r="L104" s="6"/>
      <c r="M104" s="6"/>
      <c r="N104" s="6"/>
      <c r="O104" s="6"/>
      <c r="P104" s="6"/>
      <c r="Q104" s="6"/>
      <c r="R104" s="6"/>
      <c r="S104" s="6"/>
      <c r="T104" s="6"/>
      <c r="U104" s="6"/>
      <c r="V104" s="6"/>
      <c r="W104" s="6"/>
      <c r="X104" s="6"/>
      <c r="Y104" s="6"/>
      <c r="Z104" s="6"/>
    </row>
    <row r="105" ht="144.0" customHeight="1">
      <c r="A105" s="268" t="str">
        <f>'High Risk Non-Compliant'!B61</f>
        <v>FIDP-07</v>
      </c>
      <c r="B105" s="164" t="str">
        <f>'High Risk Non-Compliant'!C61</f>
        <v>Do you employ host-based intrusion detection?</v>
      </c>
      <c r="C105" s="14"/>
      <c r="D105" s="269">
        <f>'High Risk Non-Compliant'!D61</f>
        <v>0</v>
      </c>
      <c r="E105" s="40"/>
      <c r="F105" s="14"/>
      <c r="G105" s="266" t="str">
        <f>IF(VLOOKUP(A105,'High Risk Non-Compliant'!B1:K1685,$H$48,FALSE)=0,"N/A",VLOOKUP(A105,'High Risk Non-Compliant'!B1:K1685,$H$48,FALSE))</f>
        <v>#N/A</v>
      </c>
      <c r="H105" s="266" t="str">
        <f>IF(G105="N/A","N/A",VLOOKUP(G105,'Crosswalk Detail'!A1:B958,2,FALSE))</f>
        <v>#N/A</v>
      </c>
      <c r="I105" s="6"/>
      <c r="J105" s="6"/>
      <c r="K105" s="6"/>
      <c r="L105" s="6"/>
      <c r="M105" s="6"/>
      <c r="N105" s="6"/>
      <c r="O105" s="6"/>
      <c r="P105" s="6"/>
      <c r="Q105" s="6"/>
      <c r="R105" s="6"/>
      <c r="S105" s="6"/>
      <c r="T105" s="6"/>
      <c r="U105" s="6"/>
      <c r="V105" s="6"/>
      <c r="W105" s="6"/>
      <c r="X105" s="6"/>
      <c r="Y105" s="6"/>
      <c r="Z105" s="6"/>
    </row>
    <row r="106" ht="144.0" customHeight="1">
      <c r="A106" s="268" t="str">
        <f>'High Risk Non-Compliant'!B62</f>
        <v>FIDP-12</v>
      </c>
      <c r="B106" s="164" t="str">
        <f>'High Risk Non-Compliant'!C62</f>
        <v>Are audit logs available for all changes to the network, firewall, IDS, and IPS systems?</v>
      </c>
      <c r="C106" s="14"/>
      <c r="D106" s="269">
        <f>'High Risk Non-Compliant'!D62</f>
        <v>0</v>
      </c>
      <c r="E106" s="40"/>
      <c r="F106" s="14"/>
      <c r="G106" s="266" t="str">
        <f>IF(VLOOKUP(A106,'High Risk Non-Compliant'!B1:K1685,$H$48,FALSE)=0,"N/A",VLOOKUP(A106,'High Risk Non-Compliant'!B1:K1685,$H$48,FALSE))</f>
        <v>#N/A</v>
      </c>
      <c r="H106" s="266" t="str">
        <f>IF(G106="N/A","N/A",VLOOKUP(G106,'Crosswalk Detail'!A1:B958,2,FALSE))</f>
        <v>#N/A</v>
      </c>
      <c r="I106" s="6"/>
      <c r="J106" s="6"/>
      <c r="K106" s="6"/>
      <c r="L106" s="6"/>
      <c r="M106" s="6"/>
      <c r="N106" s="6"/>
      <c r="O106" s="6"/>
      <c r="P106" s="6"/>
      <c r="Q106" s="6"/>
      <c r="R106" s="6"/>
      <c r="S106" s="6"/>
      <c r="T106" s="6"/>
      <c r="U106" s="6"/>
      <c r="V106" s="6"/>
      <c r="W106" s="6"/>
      <c r="X106" s="6"/>
      <c r="Y106" s="6"/>
      <c r="Z106" s="6"/>
    </row>
    <row r="107" ht="144.0" customHeight="1">
      <c r="A107" s="268" t="str">
        <f>'High Risk Non-Compliant'!B63</f>
        <v>MAPP-03</v>
      </c>
      <c r="B107" s="164" t="str">
        <f>'High Risk Non-Compliant'!C63</f>
        <v>Is the application available from a trusted source (e.g., iTunes App Store, Android Market, BB World)?</v>
      </c>
      <c r="C107" s="14"/>
      <c r="D107" s="269">
        <f>'High Risk Non-Compliant'!D63</f>
        <v>0</v>
      </c>
      <c r="E107" s="40"/>
      <c r="F107" s="14"/>
      <c r="G107" s="266" t="str">
        <f>IF(VLOOKUP(A107,'High Risk Non-Compliant'!B1:K1685,$H$48,FALSE)=0,"N/A",VLOOKUP(A107,'High Risk Non-Compliant'!B1:K1685,$H$48,FALSE))</f>
        <v>#N/A</v>
      </c>
      <c r="H107" s="266" t="str">
        <f>IF(G107="N/A","N/A",VLOOKUP(G107,'Crosswalk Detail'!A1:B958,2,FALSE))</f>
        <v>#N/A</v>
      </c>
      <c r="I107" s="6"/>
      <c r="J107" s="6"/>
      <c r="K107" s="6"/>
      <c r="L107" s="6"/>
      <c r="M107" s="6"/>
      <c r="N107" s="6"/>
      <c r="O107" s="6"/>
      <c r="P107" s="6"/>
      <c r="Q107" s="6"/>
      <c r="R107" s="6"/>
      <c r="S107" s="6"/>
      <c r="T107" s="6"/>
      <c r="U107" s="6"/>
      <c r="V107" s="6"/>
      <c r="W107" s="6"/>
      <c r="X107" s="6"/>
      <c r="Y107" s="6"/>
      <c r="Z107" s="6"/>
    </row>
    <row r="108" ht="144.0" customHeight="1">
      <c r="A108" s="268" t="str">
        <f>'High Risk Non-Compliant'!B64</f>
        <v>MAPP-05</v>
      </c>
      <c r="B108" s="164" t="str">
        <f>'High Risk Non-Compliant'!C64</f>
        <v>Is Institution's data encrypted in transport?</v>
      </c>
      <c r="C108" s="14"/>
      <c r="D108" s="269">
        <f>'High Risk Non-Compliant'!D64</f>
        <v>0</v>
      </c>
      <c r="E108" s="40"/>
      <c r="F108" s="14"/>
      <c r="G108" s="266" t="str">
        <f>IF(VLOOKUP(A108,'High Risk Non-Compliant'!B1:K1685,$H$48,FALSE)=0,"N/A",VLOOKUP(A108,'High Risk Non-Compliant'!B1:K1685,$H$48,FALSE))</f>
        <v>#N/A</v>
      </c>
      <c r="H108" s="266" t="str">
        <f>IF(G108="N/A","N/A",VLOOKUP(G108,'Crosswalk Detail'!A1:B958,2,FALSE))</f>
        <v>#N/A</v>
      </c>
      <c r="I108" s="6"/>
      <c r="J108" s="6"/>
      <c r="K108" s="6"/>
      <c r="L108" s="6"/>
      <c r="M108" s="6"/>
      <c r="N108" s="6"/>
      <c r="O108" s="6"/>
      <c r="P108" s="6"/>
      <c r="Q108" s="6"/>
      <c r="R108" s="6"/>
      <c r="S108" s="6"/>
      <c r="T108" s="6"/>
      <c r="U108" s="6"/>
      <c r="V108" s="6"/>
      <c r="W108" s="6"/>
      <c r="X108" s="6"/>
      <c r="Y108" s="6"/>
      <c r="Z108" s="6"/>
    </row>
    <row r="109" ht="144.0" customHeight="1">
      <c r="A109" s="268" t="str">
        <f>'High Risk Non-Compliant'!B65</f>
        <v>MAPP-06</v>
      </c>
      <c r="B109" s="164" t="str">
        <f>'High Risk Non-Compliant'!C65</f>
        <v>Is Institution's data encrypted in storage? (e.g. disk encryption, at-rest)</v>
      </c>
      <c r="C109" s="14"/>
      <c r="D109" s="269">
        <f>'High Risk Non-Compliant'!D65</f>
        <v>0</v>
      </c>
      <c r="E109" s="40"/>
      <c r="F109" s="14"/>
      <c r="G109" s="266" t="str">
        <f>IF(VLOOKUP(A109,'High Risk Non-Compliant'!B1:K1685,$H$48,FALSE)=0,"N/A",VLOOKUP(A109,'High Risk Non-Compliant'!B1:K1685,$H$48,FALSE))</f>
        <v>#N/A</v>
      </c>
      <c r="H109" s="266" t="str">
        <f>IF(G109="N/A","N/A",VLOOKUP(G109,'Crosswalk Detail'!A1:B958,2,FALSE))</f>
        <v>#N/A</v>
      </c>
      <c r="I109" s="6"/>
      <c r="J109" s="6"/>
      <c r="K109" s="6"/>
      <c r="L109" s="6"/>
      <c r="M109" s="6"/>
      <c r="N109" s="6"/>
      <c r="O109" s="6"/>
      <c r="P109" s="6"/>
      <c r="Q109" s="6"/>
      <c r="R109" s="6"/>
      <c r="S109" s="6"/>
      <c r="T109" s="6"/>
      <c r="U109" s="6"/>
      <c r="V109" s="6"/>
      <c r="W109" s="6"/>
      <c r="X109" s="6"/>
      <c r="Y109" s="6"/>
      <c r="Z109" s="6"/>
    </row>
    <row r="110" ht="144.0" customHeight="1">
      <c r="A110" s="268" t="str">
        <f>'High Risk Non-Compliant'!B66</f>
        <v>MAPP-07</v>
      </c>
      <c r="B110" s="164" t="str">
        <f>'High Risk Non-Compliant'!C66</f>
        <v>Does the mobile application support Kerberos, CAS, or Active Directory authentication?</v>
      </c>
      <c r="C110" s="14"/>
      <c r="D110" s="269">
        <f>'High Risk Non-Compliant'!D66</f>
        <v>0</v>
      </c>
      <c r="E110" s="40"/>
      <c r="F110" s="14"/>
      <c r="G110" s="266" t="str">
        <f>IF(VLOOKUP(A110,'High Risk Non-Compliant'!B1:K1685,$H$48,FALSE)=0,"N/A",VLOOKUP(A110,'High Risk Non-Compliant'!B1:K1685,$H$48,FALSE))</f>
        <v>#N/A</v>
      </c>
      <c r="H110" s="266" t="str">
        <f>IF(G110="N/A","N/A",VLOOKUP(G110,'Crosswalk Detail'!A1:B958,2,FALSE))</f>
        <v>#N/A</v>
      </c>
      <c r="I110" s="6"/>
      <c r="J110" s="6"/>
      <c r="K110" s="6"/>
      <c r="L110" s="6"/>
      <c r="M110" s="6"/>
      <c r="N110" s="6"/>
      <c r="O110" s="6"/>
      <c r="P110" s="6"/>
      <c r="Q110" s="6"/>
      <c r="R110" s="6"/>
      <c r="S110" s="6"/>
      <c r="T110" s="6"/>
      <c r="U110" s="6"/>
      <c r="V110" s="6"/>
      <c r="W110" s="6"/>
      <c r="X110" s="6"/>
      <c r="Y110" s="6"/>
      <c r="Z110" s="6"/>
    </row>
    <row r="111" ht="144.0" customHeight="1">
      <c r="A111" s="268" t="str">
        <f>'High Risk Non-Compliant'!B67</f>
        <v>MAPP-09</v>
      </c>
      <c r="B111" s="164" t="str">
        <f>'High Risk Non-Compliant'!C67</f>
        <v>Does the application adhere to secure coding practices (e.g. OWASP, etc.)?</v>
      </c>
      <c r="C111" s="14"/>
      <c r="D111" s="269">
        <f>'High Risk Non-Compliant'!D67</f>
        <v>0</v>
      </c>
      <c r="E111" s="40"/>
      <c r="F111" s="14"/>
      <c r="G111" s="266" t="str">
        <f>IF(VLOOKUP(A111,'High Risk Non-Compliant'!B1:K1685,$H$48,FALSE)=0,"N/A",VLOOKUP(A111,'High Risk Non-Compliant'!B1:K1685,$H$48,FALSE))</f>
        <v>#N/A</v>
      </c>
      <c r="H111" s="266" t="str">
        <f>IF(G111="N/A","N/A",VLOOKUP(G111,'Crosswalk Detail'!A1:B958,2,FALSE))</f>
        <v>#N/A</v>
      </c>
      <c r="I111" s="6"/>
      <c r="J111" s="6"/>
      <c r="K111" s="6"/>
      <c r="L111" s="6"/>
      <c r="M111" s="6"/>
      <c r="N111" s="6"/>
      <c r="O111" s="6"/>
      <c r="P111" s="6"/>
      <c r="Q111" s="6"/>
      <c r="R111" s="6"/>
      <c r="S111" s="6"/>
      <c r="T111" s="6"/>
      <c r="U111" s="6"/>
      <c r="V111" s="6"/>
      <c r="W111" s="6"/>
      <c r="X111" s="6"/>
      <c r="Y111" s="6"/>
      <c r="Z111" s="6"/>
    </row>
    <row r="112" ht="144.0" customHeight="1">
      <c r="A112" s="268" t="str">
        <f>'High Risk Non-Compliant'!B68</f>
        <v>MAPP-10</v>
      </c>
      <c r="B112" s="164" t="str">
        <f>'High Risk Non-Compliant'!C68</f>
        <v>Has the application been tested for vulnerabilities by a third party?</v>
      </c>
      <c r="C112" s="14"/>
      <c r="D112" s="269">
        <f>'High Risk Non-Compliant'!D68</f>
        <v>0</v>
      </c>
      <c r="E112" s="40"/>
      <c r="F112" s="14"/>
      <c r="G112" s="266" t="str">
        <f>IF(VLOOKUP(A112,'High Risk Non-Compliant'!B1:K1685,$H$48,FALSE)=0,"N/A",VLOOKUP(A112,'High Risk Non-Compliant'!B1:K1685,$H$48,FALSE))</f>
        <v>#N/A</v>
      </c>
      <c r="H112" s="266" t="str">
        <f>IF(G112="N/A","N/A",VLOOKUP(G112,'Crosswalk Detail'!A1:B958,2,FALSE))</f>
        <v>#N/A</v>
      </c>
      <c r="I112" s="6"/>
      <c r="J112" s="6"/>
      <c r="K112" s="6"/>
      <c r="L112" s="6"/>
      <c r="M112" s="6"/>
      <c r="N112" s="6"/>
      <c r="O112" s="6"/>
      <c r="P112" s="6"/>
      <c r="Q112" s="6"/>
      <c r="R112" s="6"/>
      <c r="S112" s="6"/>
      <c r="T112" s="6"/>
      <c r="U112" s="6"/>
      <c r="V112" s="6"/>
      <c r="W112" s="6"/>
      <c r="X112" s="6"/>
      <c r="Y112" s="6"/>
      <c r="Z112" s="6"/>
    </row>
    <row r="113" ht="144.0" customHeight="1">
      <c r="A113" s="268" t="str">
        <f>'High Risk Non-Compliant'!B69</f>
        <v>MAPP-11</v>
      </c>
      <c r="B113" s="164" t="str">
        <f>'High Risk Non-Compliant'!C69</f>
        <v>State the party that performed the vulnerability test and the date it was conducted?</v>
      </c>
      <c r="C113" s="14"/>
      <c r="D113" s="269">
        <f>'High Risk Non-Compliant'!D69</f>
        <v>0</v>
      </c>
      <c r="E113" s="40"/>
      <c r="F113" s="14"/>
      <c r="G113" s="266" t="str">
        <f>IF(VLOOKUP(A113,'High Risk Non-Compliant'!B1:K1685,$H$48,FALSE)=0,"N/A",VLOOKUP(A113,'High Risk Non-Compliant'!B1:K1685,$H$48,FALSE))</f>
        <v>#N/A</v>
      </c>
      <c r="H113" s="266" t="str">
        <f>IF(G113="N/A","N/A",VLOOKUP(G113,'Crosswalk Detail'!A1:B958,2,FALSE))</f>
        <v>#N/A</v>
      </c>
      <c r="I113" s="6"/>
      <c r="J113" s="6"/>
      <c r="K113" s="6"/>
      <c r="L113" s="6"/>
      <c r="M113" s="6"/>
      <c r="N113" s="6"/>
      <c r="O113" s="6"/>
      <c r="P113" s="6"/>
      <c r="Q113" s="6"/>
      <c r="R113" s="6"/>
      <c r="S113" s="6"/>
      <c r="T113" s="6"/>
      <c r="U113" s="6"/>
      <c r="V113" s="6"/>
      <c r="W113" s="6"/>
      <c r="X113" s="6"/>
      <c r="Y113" s="6"/>
      <c r="Z113" s="6"/>
    </row>
    <row r="114" ht="144.0" customHeight="1">
      <c r="A114" s="268" t="str">
        <f>'High Risk Non-Compliant'!B70</f>
        <v>PHYS-02</v>
      </c>
      <c r="B114" s="164" t="str">
        <f>'High Risk Non-Compliant'!C70</f>
        <v>Are employees allowed to take home Institution's data in any form?</v>
      </c>
      <c r="C114" s="14"/>
      <c r="D114" s="269">
        <f>'High Risk Non-Compliant'!D70</f>
        <v>0</v>
      </c>
      <c r="E114" s="40"/>
      <c r="F114" s="14"/>
      <c r="G114" s="266" t="str">
        <f>IF(VLOOKUP(A114,'High Risk Non-Compliant'!B1:K1685,$H$48,FALSE)=0,"N/A",VLOOKUP(A114,'High Risk Non-Compliant'!B1:K1685,$H$48,FALSE))</f>
        <v>#N/A</v>
      </c>
      <c r="H114" s="266" t="str">
        <f>IF(G114="N/A","N/A",VLOOKUP(G114,'Crosswalk Detail'!A1:B958,2,FALSE))</f>
        <v>#N/A</v>
      </c>
      <c r="I114" s="6"/>
      <c r="J114" s="6"/>
      <c r="K114" s="6"/>
      <c r="L114" s="6"/>
      <c r="M114" s="6"/>
      <c r="N114" s="6"/>
      <c r="O114" s="6"/>
      <c r="P114" s="6"/>
      <c r="Q114" s="6"/>
      <c r="R114" s="6"/>
      <c r="S114" s="6"/>
      <c r="T114" s="6"/>
      <c r="U114" s="6"/>
      <c r="V114" s="6"/>
      <c r="W114" s="6"/>
      <c r="X114" s="6"/>
      <c r="Y114" s="6"/>
      <c r="Z114" s="6"/>
    </row>
    <row r="115" ht="144.0" customHeight="1">
      <c r="A115" s="268" t="str">
        <f>'High Risk Non-Compliant'!B71</f>
        <v>PPPR-02</v>
      </c>
      <c r="B115" s="164" t="str">
        <f>'High Risk Non-Compliant'!C71</f>
        <v>Do you have a documented patch management process?</v>
      </c>
      <c r="C115" s="14"/>
      <c r="D115" s="269">
        <f>'High Risk Non-Compliant'!D71</f>
        <v>0</v>
      </c>
      <c r="E115" s="40"/>
      <c r="F115" s="14"/>
      <c r="G115" s="266" t="str">
        <f>IF(VLOOKUP(A115,'High Risk Non-Compliant'!B1:K1685,$H$48,FALSE)=0,"N/A",VLOOKUP(A115,'High Risk Non-Compliant'!B1:K1685,$H$48,FALSE))</f>
        <v>#N/A</v>
      </c>
      <c r="H115" s="266" t="str">
        <f>IF(G115="N/A","N/A",VLOOKUP(G115,'Crosswalk Detail'!A1:B958,2,FALSE))</f>
        <v>#N/A</v>
      </c>
      <c r="I115" s="6"/>
      <c r="J115" s="6"/>
      <c r="K115" s="6"/>
      <c r="L115" s="6"/>
      <c r="M115" s="6"/>
      <c r="N115" s="6"/>
      <c r="O115" s="6"/>
      <c r="P115" s="6"/>
      <c r="Q115" s="6"/>
      <c r="R115" s="6"/>
      <c r="S115" s="6"/>
      <c r="T115" s="6"/>
      <c r="U115" s="6"/>
      <c r="V115" s="6"/>
      <c r="W115" s="6"/>
      <c r="X115" s="6"/>
      <c r="Y115" s="6"/>
      <c r="Z115" s="6"/>
    </row>
    <row r="116" ht="144.0" customHeight="1">
      <c r="A116" s="268" t="str">
        <f>'High Risk Non-Compliant'!B72</f>
        <v>PPPR-04</v>
      </c>
      <c r="B116" s="164" t="str">
        <f>'High Risk Non-Compliant'!C72</f>
        <v>Have your developers been trained in secure coding techniques?</v>
      </c>
      <c r="C116" s="14"/>
      <c r="D116" s="269">
        <f>'High Risk Non-Compliant'!D72</f>
        <v>0</v>
      </c>
      <c r="E116" s="40"/>
      <c r="F116" s="14"/>
      <c r="G116" s="266" t="str">
        <f>IF(VLOOKUP(A116,'High Risk Non-Compliant'!B1:K1685,$H$48,FALSE)=0,"N/A",VLOOKUP(A116,'High Risk Non-Compliant'!B1:K1685,$H$48,FALSE))</f>
        <v>#N/A</v>
      </c>
      <c r="H116" s="266" t="str">
        <f>IF(G116="N/A","N/A",VLOOKUP(G116,'Crosswalk Detail'!A1:B958,2,FALSE))</f>
        <v>#N/A</v>
      </c>
      <c r="I116" s="6"/>
      <c r="J116" s="6"/>
      <c r="K116" s="6"/>
      <c r="L116" s="6"/>
      <c r="M116" s="6"/>
      <c r="N116" s="6"/>
      <c r="O116" s="6"/>
      <c r="P116" s="6"/>
      <c r="Q116" s="6"/>
      <c r="R116" s="6"/>
      <c r="S116" s="6"/>
      <c r="T116" s="6"/>
      <c r="U116" s="6"/>
      <c r="V116" s="6"/>
      <c r="W116" s="6"/>
      <c r="X116" s="6"/>
      <c r="Y116" s="6"/>
      <c r="Z116" s="6"/>
    </row>
    <row r="117" ht="144.0" customHeight="1">
      <c r="A117" s="268" t="str">
        <f>'High Risk Non-Compliant'!B73</f>
        <v>PPPR-06</v>
      </c>
      <c r="B117" s="164" t="str">
        <f>'High Risk Non-Compliant'!C73</f>
        <v>Do you subject your code to static code analysis and/or static application security testing prior to release?</v>
      </c>
      <c r="C117" s="14"/>
      <c r="D117" s="269">
        <f>'High Risk Non-Compliant'!D73</f>
        <v>0</v>
      </c>
      <c r="E117" s="40"/>
      <c r="F117" s="14"/>
      <c r="G117" s="266" t="str">
        <f>IF(VLOOKUP(A117,'High Risk Non-Compliant'!B1:K1685,$H$48,FALSE)=0,"N/A",VLOOKUP(A117,'High Risk Non-Compliant'!B1:K1685,$H$48,FALSE))</f>
        <v>#N/A</v>
      </c>
      <c r="H117" s="266" t="str">
        <f>IF(G117="N/A","N/A",VLOOKUP(G117,'Crosswalk Detail'!A1:B958,2,FALSE))</f>
        <v>#N/A</v>
      </c>
      <c r="I117" s="6"/>
      <c r="J117" s="6"/>
      <c r="K117" s="6"/>
      <c r="L117" s="6"/>
      <c r="M117" s="6"/>
      <c r="N117" s="6"/>
      <c r="O117" s="6"/>
      <c r="P117" s="6"/>
      <c r="Q117" s="6"/>
      <c r="R117" s="6"/>
      <c r="S117" s="6"/>
      <c r="T117" s="6"/>
      <c r="U117" s="6"/>
      <c r="V117" s="6"/>
      <c r="W117" s="6"/>
      <c r="X117" s="6"/>
      <c r="Y117" s="6"/>
      <c r="Z117" s="6"/>
    </row>
    <row r="118" ht="144.0" customHeight="1">
      <c r="A118" s="268" t="str">
        <f>'High Risk Non-Compliant'!B74</f>
        <v>PPPR-10</v>
      </c>
      <c r="B118" s="164" t="str">
        <f>'High Risk Non-Compliant'!C74</f>
        <v>Do you have a formal incident response plan?</v>
      </c>
      <c r="C118" s="14"/>
      <c r="D118" s="269">
        <f>'High Risk Non-Compliant'!D74</f>
        <v>0</v>
      </c>
      <c r="E118" s="40"/>
      <c r="F118" s="14"/>
      <c r="G118" s="266" t="str">
        <f>IF(VLOOKUP(A118,'High Risk Non-Compliant'!B1:K1685,$H$48,FALSE)=0,"N/A",VLOOKUP(A118,'High Risk Non-Compliant'!B1:K1685,$H$48,FALSE))</f>
        <v>#N/A</v>
      </c>
      <c r="H118" s="266" t="str">
        <f>IF(G118="N/A","N/A",VLOOKUP(G118,'Crosswalk Detail'!A1:B958,2,FALSE))</f>
        <v>#N/A</v>
      </c>
      <c r="I118" s="6"/>
      <c r="J118" s="6"/>
      <c r="K118" s="6"/>
      <c r="L118" s="6"/>
      <c r="M118" s="6"/>
      <c r="N118" s="6"/>
      <c r="O118" s="6"/>
      <c r="P118" s="6"/>
      <c r="Q118" s="6"/>
      <c r="R118" s="6"/>
      <c r="S118" s="6"/>
      <c r="T118" s="6"/>
      <c r="U118" s="6"/>
      <c r="V118" s="6"/>
      <c r="W118" s="6"/>
      <c r="X118" s="6"/>
      <c r="Y118" s="6"/>
      <c r="Z118" s="6"/>
    </row>
    <row r="119" ht="144.0" customHeight="1">
      <c r="A119" s="268" t="str">
        <f>'High Risk Non-Compliant'!B75</f>
        <v>PPPR-11</v>
      </c>
      <c r="B119" s="164" t="str">
        <f>'High Risk Non-Compliant'!C75</f>
        <v>Will you comply with applicable breach notification laws?</v>
      </c>
      <c r="C119" s="14"/>
      <c r="D119" s="269">
        <f>'High Risk Non-Compliant'!D75</f>
        <v>0</v>
      </c>
      <c r="E119" s="40"/>
      <c r="F119" s="14"/>
      <c r="G119" s="266" t="str">
        <f>IF(VLOOKUP(A119,'High Risk Non-Compliant'!B1:K1685,$H$48,FALSE)=0,"N/A",VLOOKUP(A119,'High Risk Non-Compliant'!B1:K1685,$H$48,FALSE))</f>
        <v>#N/A</v>
      </c>
      <c r="H119" s="266" t="str">
        <f>IF(G119="N/A","N/A",VLOOKUP(G119,'Crosswalk Detail'!A1:B958,2,FALSE))</f>
        <v>#N/A</v>
      </c>
      <c r="I119" s="6"/>
      <c r="J119" s="6"/>
      <c r="K119" s="6"/>
      <c r="L119" s="6"/>
      <c r="M119" s="6"/>
      <c r="N119" s="6"/>
      <c r="O119" s="6"/>
      <c r="P119" s="6"/>
      <c r="Q119" s="6"/>
      <c r="R119" s="6"/>
      <c r="S119" s="6"/>
      <c r="T119" s="6"/>
      <c r="U119" s="6"/>
      <c r="V119" s="6"/>
      <c r="W119" s="6"/>
      <c r="X119" s="6"/>
      <c r="Y119" s="6"/>
      <c r="Z119" s="6"/>
    </row>
    <row r="120" ht="144.0" customHeight="1">
      <c r="A120" s="268" t="str">
        <f>'High Risk Non-Compliant'!B76</f>
        <v>PPPR-16</v>
      </c>
      <c r="B120" s="164" t="str">
        <f>'High Risk Non-Compliant'!C76</f>
        <v>Do you have documented information security policy?</v>
      </c>
      <c r="C120" s="14"/>
      <c r="D120" s="269">
        <f>'High Risk Non-Compliant'!D76</f>
        <v>0</v>
      </c>
      <c r="E120" s="40"/>
      <c r="F120" s="14"/>
      <c r="G120" s="266" t="str">
        <f>IF(VLOOKUP(A120,'High Risk Non-Compliant'!B1:K1685,$H$48,FALSE)=0,"N/A",VLOOKUP(A120,'High Risk Non-Compliant'!B1:K1685,$H$48,FALSE))</f>
        <v>#N/A</v>
      </c>
      <c r="H120" s="266" t="str">
        <f>IF(G120="N/A","N/A",VLOOKUP(G120,'Crosswalk Detail'!A1:B958,2,FALSE))</f>
        <v>#N/A</v>
      </c>
      <c r="I120" s="6"/>
      <c r="J120" s="6"/>
      <c r="K120" s="6"/>
      <c r="L120" s="6"/>
      <c r="M120" s="6"/>
      <c r="N120" s="6"/>
      <c r="O120" s="6"/>
      <c r="P120" s="6"/>
      <c r="Q120" s="6"/>
      <c r="R120" s="6"/>
      <c r="S120" s="6"/>
      <c r="T120" s="6"/>
      <c r="U120" s="6"/>
      <c r="V120" s="6"/>
      <c r="W120" s="6"/>
      <c r="X120" s="6"/>
      <c r="Y120" s="6"/>
      <c r="Z120" s="6"/>
    </row>
    <row r="121" ht="144.0" customHeight="1">
      <c r="A121" s="268" t="str">
        <f>'High Risk Non-Compliant'!B77</f>
        <v>PPPR-17</v>
      </c>
      <c r="B121" s="164" t="str">
        <f>'High Risk Non-Compliant'!C77</f>
        <v>Do you have an information security awareness program?</v>
      </c>
      <c r="C121" s="14"/>
      <c r="D121" s="269">
        <f>'High Risk Non-Compliant'!D77</f>
        <v>0</v>
      </c>
      <c r="E121" s="40"/>
      <c r="F121" s="14"/>
      <c r="G121" s="266" t="str">
        <f>IF(VLOOKUP(A121,'High Risk Non-Compliant'!B1:K1685,$H$48,FALSE)=0,"N/A",VLOOKUP(A121,'High Risk Non-Compliant'!B1:K1685,$H$48,FALSE))</f>
        <v>#N/A</v>
      </c>
      <c r="H121" s="266" t="str">
        <f>IF(G121="N/A","N/A",VLOOKUP(G121,'Crosswalk Detail'!A1:B958,2,FALSE))</f>
        <v>#N/A</v>
      </c>
      <c r="I121" s="6"/>
      <c r="J121" s="6"/>
      <c r="K121" s="6"/>
      <c r="L121" s="6"/>
      <c r="M121" s="6"/>
      <c r="N121" s="6"/>
      <c r="O121" s="6"/>
      <c r="P121" s="6"/>
      <c r="Q121" s="6"/>
      <c r="R121" s="6"/>
      <c r="S121" s="6"/>
      <c r="T121" s="6"/>
      <c r="U121" s="6"/>
      <c r="V121" s="6"/>
      <c r="W121" s="6"/>
      <c r="X121" s="6"/>
      <c r="Y121" s="6"/>
      <c r="Z121" s="6"/>
    </row>
    <row r="122" ht="144.0" customHeight="1">
      <c r="A122" s="268" t="str">
        <f>'High Risk Non-Compliant'!B78</f>
        <v>SYST-01</v>
      </c>
      <c r="B122" s="164" t="str">
        <f>'High Risk Non-Compliant'!C78</f>
        <v>Are systems that support this service managed via a separate management network?</v>
      </c>
      <c r="C122" s="14"/>
      <c r="D122" s="269">
        <f>'High Risk Non-Compliant'!D78</f>
        <v>0</v>
      </c>
      <c r="E122" s="40"/>
      <c r="F122" s="14"/>
      <c r="G122" s="266" t="str">
        <f>IF(VLOOKUP(A122,'High Risk Non-Compliant'!B1:K1685,$H$48,FALSE)=0,"N/A",VLOOKUP(A122,'High Risk Non-Compliant'!B1:K1685,$H$48,FALSE))</f>
        <v>#N/A</v>
      </c>
      <c r="H122" s="266" t="str">
        <f>IF(G122="N/A","N/A",VLOOKUP(G122,'Crosswalk Detail'!A1:B958,2,FALSE))</f>
        <v>#N/A</v>
      </c>
      <c r="I122" s="6"/>
      <c r="J122" s="6"/>
      <c r="K122" s="6"/>
      <c r="L122" s="6"/>
      <c r="M122" s="6"/>
      <c r="N122" s="6"/>
      <c r="O122" s="6"/>
      <c r="P122" s="6"/>
      <c r="Q122" s="6"/>
      <c r="R122" s="6"/>
      <c r="S122" s="6"/>
      <c r="T122" s="6"/>
      <c r="U122" s="6"/>
      <c r="V122" s="6"/>
      <c r="W122" s="6"/>
      <c r="X122" s="6"/>
      <c r="Y122" s="6"/>
      <c r="Z122" s="6"/>
    </row>
    <row r="123" ht="144.0" customHeight="1">
      <c r="A123" s="268" t="str">
        <f>'High Risk Non-Compliant'!B79</f>
        <v>VULN-01</v>
      </c>
      <c r="B123" s="164" t="str">
        <f>'High Risk Non-Compliant'!C79</f>
        <v>Are your applications scanned externally for vulnerabilities?</v>
      </c>
      <c r="C123" s="14"/>
      <c r="D123" s="269">
        <f>'High Risk Non-Compliant'!D79</f>
        <v>0</v>
      </c>
      <c r="E123" s="40"/>
      <c r="F123" s="14"/>
      <c r="G123" s="266" t="str">
        <f>IF(VLOOKUP(A123,'High Risk Non-Compliant'!B1:K1685,$H$48,FALSE)=0,"N/A",VLOOKUP(A123,'High Risk Non-Compliant'!B1:K1685,$H$48,FALSE))</f>
        <v>#N/A</v>
      </c>
      <c r="H123" s="266" t="str">
        <f>IF(G123="N/A","N/A",VLOOKUP(G123,'Crosswalk Detail'!A1:B958,2,FALSE))</f>
        <v>#N/A</v>
      </c>
      <c r="I123" s="6"/>
      <c r="J123" s="6"/>
      <c r="K123" s="6"/>
      <c r="L123" s="6"/>
      <c r="M123" s="6"/>
      <c r="N123" s="6"/>
      <c r="O123" s="6"/>
      <c r="P123" s="6"/>
      <c r="Q123" s="6"/>
      <c r="R123" s="6"/>
      <c r="S123" s="6"/>
      <c r="T123" s="6"/>
      <c r="U123" s="6"/>
      <c r="V123" s="6"/>
      <c r="W123" s="6"/>
      <c r="X123" s="6"/>
      <c r="Y123" s="6"/>
      <c r="Z123" s="6"/>
    </row>
    <row r="124" ht="144.0" customHeight="1">
      <c r="A124" s="268" t="str">
        <f>'High Risk Non-Compliant'!B80</f>
        <v>VULN-04</v>
      </c>
      <c r="B124" s="164" t="str">
        <f>'High Risk Non-Compliant'!C80</f>
        <v>Are your systems scanned externally for vulnerabilities?</v>
      </c>
      <c r="C124" s="14"/>
      <c r="D124" s="269">
        <f>'High Risk Non-Compliant'!D80</f>
        <v>0</v>
      </c>
      <c r="E124" s="40"/>
      <c r="F124" s="14"/>
      <c r="G124" s="266" t="str">
        <f>IF(VLOOKUP(A124,'High Risk Non-Compliant'!B1:K1685,$H$48,FALSE)=0,"N/A",VLOOKUP(A124,'High Risk Non-Compliant'!B1:K1685,$H$48,FALSE))</f>
        <v>#N/A</v>
      </c>
      <c r="H124" s="266" t="str">
        <f>IF(G124="N/A","N/A",VLOOKUP(G124,'Crosswalk Detail'!A1:B958,2,FALSE))</f>
        <v>#N/A</v>
      </c>
      <c r="I124" s="6"/>
      <c r="J124" s="6"/>
      <c r="K124" s="6"/>
      <c r="L124" s="6"/>
      <c r="M124" s="6"/>
      <c r="N124" s="6"/>
      <c r="O124" s="6"/>
      <c r="P124" s="6"/>
      <c r="Q124" s="6"/>
      <c r="R124" s="6"/>
      <c r="S124" s="6"/>
      <c r="T124" s="6"/>
      <c r="U124" s="6"/>
      <c r="V124" s="6"/>
      <c r="W124" s="6"/>
      <c r="X124" s="6"/>
      <c r="Y124" s="6"/>
      <c r="Z124" s="6"/>
    </row>
    <row r="125" ht="144.0" customHeight="1">
      <c r="A125" s="268" t="str">
        <f>'High Risk Non-Compliant'!B81</f>
        <v>VULN-05</v>
      </c>
      <c r="B125" s="164" t="str">
        <f>'High Risk Non-Compliant'!C81</f>
        <v>Have your systems had an external vulnerability assessment in the last year?</v>
      </c>
      <c r="C125" s="14"/>
      <c r="D125" s="269">
        <f>'High Risk Non-Compliant'!D81</f>
        <v>0</v>
      </c>
      <c r="E125" s="40"/>
      <c r="F125" s="14"/>
      <c r="G125" s="266" t="str">
        <f>IF(VLOOKUP(A125,'High Risk Non-Compliant'!B1:K1685,$H$48,FALSE)=0,"N/A",VLOOKUP(A125,'High Risk Non-Compliant'!B1:K1685,$H$48,FALSE))</f>
        <v>#N/A</v>
      </c>
      <c r="H125" s="266" t="str">
        <f>IF(G125="N/A","N/A",VLOOKUP(G125,'Crosswalk Detail'!A1:B958,2,FALSE))</f>
        <v>#N/A</v>
      </c>
      <c r="I125" s="6"/>
      <c r="J125" s="6"/>
      <c r="K125" s="6"/>
      <c r="L125" s="6"/>
      <c r="M125" s="6"/>
      <c r="N125" s="6"/>
      <c r="O125" s="6"/>
      <c r="P125" s="6"/>
      <c r="Q125" s="6"/>
      <c r="R125" s="6"/>
      <c r="S125" s="6"/>
      <c r="T125" s="6"/>
      <c r="U125" s="6"/>
      <c r="V125" s="6"/>
      <c r="W125" s="6"/>
      <c r="X125" s="6"/>
      <c r="Y125" s="6"/>
      <c r="Z125" s="6"/>
    </row>
    <row r="126" ht="144.0" customHeight="1">
      <c r="A126" s="268" t="str">
        <f>'High Risk Non-Compliant'!B82</f>
        <v>VULN-09</v>
      </c>
      <c r="B126" s="164" t="str">
        <f>'High Risk Non-Compliant'!C82</f>
        <v>Will you allow the institution to perform its own security testing of your systems and/or application provided that testing is performed at a mutually agreed upon time and date?</v>
      </c>
      <c r="C126" s="14"/>
      <c r="D126" s="269">
        <f>'High Risk Non-Compliant'!D82</f>
        <v>0</v>
      </c>
      <c r="E126" s="40"/>
      <c r="F126" s="14"/>
      <c r="G126" s="266" t="str">
        <f>IF(VLOOKUP(A126,'High Risk Non-Compliant'!B1:K1685,$H$48,FALSE)=0,"N/A",VLOOKUP(A126,'High Risk Non-Compliant'!B1:K1685,$H$48,FALSE))</f>
        <v>#N/A</v>
      </c>
      <c r="H126" s="266" t="str">
        <f>IF(G126="N/A","N/A",VLOOKUP(G126,'Crosswalk Detail'!A1:B958,2,FALSE))</f>
        <v>#N/A</v>
      </c>
      <c r="I126" s="6"/>
      <c r="J126" s="6"/>
      <c r="K126" s="6"/>
      <c r="L126" s="6"/>
      <c r="M126" s="6"/>
      <c r="N126" s="6"/>
      <c r="O126" s="6"/>
      <c r="P126" s="6"/>
      <c r="Q126" s="6"/>
      <c r="R126" s="6"/>
      <c r="S126" s="6"/>
      <c r="T126" s="6"/>
      <c r="U126" s="6"/>
      <c r="V126" s="6"/>
      <c r="W126" s="6"/>
      <c r="X126" s="6"/>
      <c r="Y126" s="6"/>
      <c r="Z126" s="6"/>
    </row>
    <row r="127" ht="144.0" customHeight="1">
      <c r="A127" s="268" t="str">
        <f>'High Risk Non-Compliant'!B83</f>
        <v>HIPA-03</v>
      </c>
      <c r="B127" s="164" t="str">
        <f>'High Risk Non-Compliant'!C83</f>
        <v>Has your organization designated HIPAA Privacy and Security officers as required by the Rules?</v>
      </c>
      <c r="C127" s="14"/>
      <c r="D127" s="269">
        <f>'High Risk Non-Compliant'!D83</f>
        <v>0</v>
      </c>
      <c r="E127" s="40"/>
      <c r="F127" s="14"/>
      <c r="G127" s="266" t="str">
        <f>IF(VLOOKUP(A127,'High Risk Non-Compliant'!B1:K1685,$H$48,FALSE)=0,"N/A",VLOOKUP(A127,'High Risk Non-Compliant'!B1:K1685,$H$48,FALSE))</f>
        <v>#N/A</v>
      </c>
      <c r="H127" s="266" t="str">
        <f>IF(G127="N/A","N/A",VLOOKUP(G127,'Crosswalk Detail'!A1:B958,2,FALSE))</f>
        <v>#N/A</v>
      </c>
      <c r="I127" s="6"/>
      <c r="J127" s="6"/>
      <c r="K127" s="6"/>
      <c r="L127" s="6"/>
      <c r="M127" s="6"/>
      <c r="N127" s="6"/>
      <c r="O127" s="6"/>
      <c r="P127" s="6"/>
      <c r="Q127" s="6"/>
      <c r="R127" s="6"/>
      <c r="S127" s="6"/>
      <c r="T127" s="6"/>
      <c r="U127" s="6"/>
      <c r="V127" s="6"/>
      <c r="W127" s="6"/>
      <c r="X127" s="6"/>
      <c r="Y127" s="6"/>
      <c r="Z127" s="6"/>
    </row>
    <row r="128" ht="144.0" customHeight="1">
      <c r="A128" s="268" t="str">
        <f>'High Risk Non-Compliant'!B84</f>
        <v>HIPA-04</v>
      </c>
      <c r="B128" s="164" t="str">
        <f>'High Risk Non-Compliant'!C84</f>
        <v>Do you comply with the requirements of the Health Information Technology for Economic and Clinical Health Act (HITECH)?</v>
      </c>
      <c r="C128" s="14"/>
      <c r="D128" s="269">
        <f>'High Risk Non-Compliant'!D84</f>
        <v>0</v>
      </c>
      <c r="E128" s="40"/>
      <c r="F128" s="14"/>
      <c r="G128" s="266" t="str">
        <f>IF(VLOOKUP(A128,'High Risk Non-Compliant'!B1:K1685,$H$48,FALSE)=0,"N/A",VLOOKUP(A128,'High Risk Non-Compliant'!B1:K1685,$H$48,FALSE))</f>
        <v>#N/A</v>
      </c>
      <c r="H128" s="266" t="str">
        <f>IF(G128="N/A","N/A",VLOOKUP(G128,'Crosswalk Detail'!A1:B958,2,FALSE))</f>
        <v>#N/A</v>
      </c>
      <c r="I128" s="6"/>
      <c r="J128" s="6"/>
      <c r="K128" s="6"/>
      <c r="L128" s="6"/>
      <c r="M128" s="6"/>
      <c r="N128" s="6"/>
      <c r="O128" s="6"/>
      <c r="P128" s="6"/>
      <c r="Q128" s="6"/>
      <c r="R128" s="6"/>
      <c r="S128" s="6"/>
      <c r="T128" s="6"/>
      <c r="U128" s="6"/>
      <c r="V128" s="6"/>
      <c r="W128" s="6"/>
      <c r="X128" s="6"/>
      <c r="Y128" s="6"/>
      <c r="Z128" s="6"/>
    </row>
    <row r="129" ht="144.0" customHeight="1">
      <c r="A129" s="268" t="str">
        <f>'High Risk Non-Compliant'!B85</f>
        <v>HIPA-06</v>
      </c>
      <c r="B129" s="164" t="str">
        <f>'High Risk Non-Compliant'!C85</f>
        <v>Do you have a plan to comply with the Breach Notification requirements if there is a breach of data?</v>
      </c>
      <c r="C129" s="14"/>
      <c r="D129" s="269">
        <f>'High Risk Non-Compliant'!D85</f>
        <v>0</v>
      </c>
      <c r="E129" s="40"/>
      <c r="F129" s="14"/>
      <c r="G129" s="266" t="str">
        <f>IF(VLOOKUP(A129,'High Risk Non-Compliant'!B1:K1685,$H$48,FALSE)=0,"N/A",VLOOKUP(A129,'High Risk Non-Compliant'!B1:K1685,$H$48,FALSE))</f>
        <v>#N/A</v>
      </c>
      <c r="H129" s="266" t="str">
        <f>IF(G129="N/A","N/A",VLOOKUP(G129,'Crosswalk Detail'!A1:B958,2,FALSE))</f>
        <v>#N/A</v>
      </c>
      <c r="I129" s="6"/>
      <c r="J129" s="6"/>
      <c r="K129" s="6"/>
      <c r="L129" s="6"/>
      <c r="M129" s="6"/>
      <c r="N129" s="6"/>
      <c r="O129" s="6"/>
      <c r="P129" s="6"/>
      <c r="Q129" s="6"/>
      <c r="R129" s="6"/>
      <c r="S129" s="6"/>
      <c r="T129" s="6"/>
      <c r="U129" s="6"/>
      <c r="V129" s="6"/>
      <c r="W129" s="6"/>
      <c r="X129" s="6"/>
      <c r="Y129" s="6"/>
      <c r="Z129" s="6"/>
    </row>
    <row r="130" ht="144.0" customHeight="1">
      <c r="A130" s="268" t="str">
        <f>'High Risk Non-Compliant'!B86</f>
        <v>HIPA-07</v>
      </c>
      <c r="B130" s="164" t="str">
        <f>'High Risk Non-Compliant'!C86</f>
        <v>Have you conducted a risk analysis as required under the Security Rule?</v>
      </c>
      <c r="C130" s="14"/>
      <c r="D130" s="269">
        <f>'High Risk Non-Compliant'!D86</f>
        <v>0</v>
      </c>
      <c r="E130" s="40"/>
      <c r="F130" s="14"/>
      <c r="G130" s="266" t="str">
        <f>IF(VLOOKUP(A130,'High Risk Non-Compliant'!B1:K1685,$H$48,FALSE)=0,"N/A",VLOOKUP(A130,'High Risk Non-Compliant'!B1:K1685,$H$48,FALSE))</f>
        <v>#N/A</v>
      </c>
      <c r="H130" s="266" t="str">
        <f>IF(G130="N/A","N/A",VLOOKUP(G130,'Crosswalk Detail'!A1:B958,2,FALSE))</f>
        <v>#N/A</v>
      </c>
      <c r="I130" s="6"/>
      <c r="J130" s="6"/>
      <c r="K130" s="6"/>
      <c r="L130" s="6"/>
      <c r="M130" s="6"/>
      <c r="N130" s="6"/>
      <c r="O130" s="6"/>
      <c r="P130" s="6"/>
      <c r="Q130" s="6"/>
      <c r="R130" s="6"/>
      <c r="S130" s="6"/>
      <c r="T130" s="6"/>
      <c r="U130" s="6"/>
      <c r="V130" s="6"/>
      <c r="W130" s="6"/>
      <c r="X130" s="6"/>
      <c r="Y130" s="6"/>
      <c r="Z130" s="6"/>
    </row>
    <row r="131" ht="144.0" customHeight="1">
      <c r="A131" s="268" t="str">
        <f>'High Risk Non-Compliant'!B87</f>
        <v>HIPA-14</v>
      </c>
      <c r="B131" s="164" t="str">
        <f>'High Risk Non-Compliant'!C87</f>
        <v>Are passwords visible in plain text, whether when stored or entered, including service level accounts (i.e. database accounts, etc.)?</v>
      </c>
      <c r="C131" s="14"/>
      <c r="D131" s="269">
        <f>'High Risk Non-Compliant'!D87</f>
        <v>0</v>
      </c>
      <c r="E131" s="40"/>
      <c r="F131" s="14"/>
      <c r="G131" s="266" t="str">
        <f>IF(VLOOKUP(A131,'High Risk Non-Compliant'!B1:K1685,$H$48,FALSE)=0,"N/A",VLOOKUP(A131,'High Risk Non-Compliant'!B1:K1685,$H$48,FALSE))</f>
        <v>#N/A</v>
      </c>
      <c r="H131" s="266" t="str">
        <f>IF(G131="N/A","N/A",VLOOKUP(G131,'Crosswalk Detail'!A1:B958,2,FALSE))</f>
        <v>#N/A</v>
      </c>
      <c r="I131" s="6"/>
      <c r="J131" s="6"/>
      <c r="K131" s="6"/>
      <c r="L131" s="6"/>
      <c r="M131" s="6"/>
      <c r="N131" s="6"/>
      <c r="O131" s="6"/>
      <c r="P131" s="6"/>
      <c r="Q131" s="6"/>
      <c r="R131" s="6"/>
      <c r="S131" s="6"/>
      <c r="T131" s="6"/>
      <c r="U131" s="6"/>
      <c r="V131" s="6"/>
      <c r="W131" s="6"/>
      <c r="X131" s="6"/>
      <c r="Y131" s="6"/>
      <c r="Z131" s="6"/>
    </row>
    <row r="132" ht="144.0" customHeight="1">
      <c r="A132" s="268" t="str">
        <f>'High Risk Non-Compliant'!B88</f>
        <v>PCID-03</v>
      </c>
      <c r="B132" s="164" t="str">
        <f>'High Risk Non-Compliant'!C88</f>
        <v>Do you have a current, executed within the past year, Attestation of Compliance (AoC) or Report on Compliance (RoC)?</v>
      </c>
      <c r="C132" s="14"/>
      <c r="D132" s="269">
        <f>'High Risk Non-Compliant'!D88</f>
        <v>0</v>
      </c>
      <c r="E132" s="40"/>
      <c r="F132" s="14"/>
      <c r="G132" s="266" t="str">
        <f>IF(VLOOKUP(A132,'High Risk Non-Compliant'!B1:K1685,$H$48,FALSE)=0,"N/A",VLOOKUP(A132,'High Risk Non-Compliant'!B1:K1685,$H$48,FALSE))</f>
        <v>#N/A</v>
      </c>
      <c r="H132" s="266" t="str">
        <f>IF(G132="N/A","N/A",VLOOKUP(G132,'Crosswalk Detail'!A1:B958,2,FALSE))</f>
        <v>#N/A</v>
      </c>
      <c r="I132" s="6"/>
      <c r="J132" s="6"/>
      <c r="K132" s="6"/>
      <c r="L132" s="6"/>
      <c r="M132" s="6"/>
      <c r="N132" s="6"/>
      <c r="O132" s="6"/>
      <c r="P132" s="6"/>
      <c r="Q132" s="6"/>
      <c r="R132" s="6"/>
      <c r="S132" s="6"/>
      <c r="T132" s="6"/>
      <c r="U132" s="6"/>
      <c r="V132" s="6"/>
      <c r="W132" s="6"/>
      <c r="X132" s="6"/>
      <c r="Y132" s="6"/>
      <c r="Z132" s="6"/>
    </row>
    <row r="133" ht="144.0" customHeight="1">
      <c r="A133" s="268" t="str">
        <f>'High Risk Non-Compliant'!B89</f>
        <v>PCID-06</v>
      </c>
      <c r="B133" s="164" t="str">
        <f>'High Risk Non-Compliant'!C89</f>
        <v>Are you classified as a merchant?  If so, what level (1, 2, 3, 4)?</v>
      </c>
      <c r="C133" s="14"/>
      <c r="D133" s="269">
        <f>'High Risk Non-Compliant'!D89</f>
        <v>0</v>
      </c>
      <c r="E133" s="40"/>
      <c r="F133" s="14"/>
      <c r="G133" s="266" t="str">
        <f>IF(VLOOKUP(A133,'High Risk Non-Compliant'!B1:K1685,$H$48,FALSE)=0,"N/A",VLOOKUP(A133,'High Risk Non-Compliant'!B1:K1685,$H$48,FALSE))</f>
        <v>#N/A</v>
      </c>
      <c r="H133" s="266" t="str">
        <f>IF(G133="N/A","N/A",VLOOKUP(G133,'Crosswalk Detail'!A1:B958,2,FALSE))</f>
        <v>#N/A</v>
      </c>
      <c r="I133" s="6"/>
      <c r="J133" s="6"/>
      <c r="K133" s="6"/>
      <c r="L133" s="6"/>
      <c r="M133" s="6"/>
      <c r="N133" s="6"/>
      <c r="O133" s="6"/>
      <c r="P133" s="6"/>
      <c r="Q133" s="6"/>
      <c r="R133" s="6"/>
      <c r="S133" s="6"/>
      <c r="T133" s="6"/>
      <c r="U133" s="6"/>
      <c r="V133" s="6"/>
      <c r="W133" s="6"/>
      <c r="X133" s="6"/>
      <c r="Y133" s="6"/>
      <c r="Z133" s="6"/>
    </row>
    <row r="134" ht="144.0" customHeight="1">
      <c r="A134" s="268" t="str">
        <f>'High Risk Non-Compliant'!B90</f>
        <v>PCID-09</v>
      </c>
      <c r="B134" s="164" t="str">
        <f>'High Risk Non-Compliant'!C90</f>
        <v>Can the application be installed in a PCI DSS compliant manner ?</v>
      </c>
      <c r="C134" s="14"/>
      <c r="D134" s="269">
        <f>'High Risk Non-Compliant'!D90</f>
        <v>0</v>
      </c>
      <c r="E134" s="40"/>
      <c r="F134" s="14"/>
      <c r="G134" s="266" t="str">
        <f>IF(VLOOKUP(A134,'High Risk Non-Compliant'!B1:K1685,$H$48,FALSE)=0,"N/A",VLOOKUP(A134,'High Risk Non-Compliant'!B1:K1685,$H$48,FALSE))</f>
        <v>#N/A</v>
      </c>
      <c r="H134" s="266" t="str">
        <f>IF(G134="N/A","N/A",VLOOKUP(G134,'Crosswalk Detail'!A1:B958,2,FALSE))</f>
        <v>#N/A</v>
      </c>
      <c r="I134" s="6"/>
      <c r="J134" s="6"/>
      <c r="K134" s="6"/>
      <c r="L134" s="6"/>
      <c r="M134" s="6"/>
      <c r="N134" s="6"/>
      <c r="O134" s="6"/>
      <c r="P134" s="6"/>
      <c r="Q134" s="6"/>
      <c r="R134" s="6"/>
      <c r="S134" s="6"/>
      <c r="T134" s="6"/>
      <c r="U134" s="6"/>
      <c r="V134" s="6"/>
      <c r="W134" s="6"/>
      <c r="X134" s="6"/>
      <c r="Y134" s="6"/>
      <c r="Z134" s="6"/>
    </row>
    <row r="135" ht="144.0" customHeight="1">
      <c r="A135" s="268" t="str">
        <f>'High Risk Non-Compliant'!B91</f>
        <v>COMP-04</v>
      </c>
      <c r="B135" s="164" t="str">
        <f>'High Risk Non-Compliant'!C91</f>
        <v>Have you had a significant breach in the last 5 years?</v>
      </c>
      <c r="C135" s="14"/>
      <c r="D135" s="269">
        <f>'High Risk Non-Compliant'!D91</f>
        <v>0</v>
      </c>
      <c r="E135" s="40"/>
      <c r="F135" s="14"/>
      <c r="G135" s="266" t="str">
        <f>IF(VLOOKUP(A135,'High Risk Non-Compliant'!B1:K1685,$H$48,FALSE)=0,"N/A",VLOOKUP(A135,'High Risk Non-Compliant'!B1:K1685,$H$48,FALSE))</f>
        <v>#N/A</v>
      </c>
      <c r="H135" s="266" t="str">
        <f>IF(G135="N/A","N/A",VLOOKUP(G135,'Crosswalk Detail'!A1:B958,2,FALSE))</f>
        <v>#N/A</v>
      </c>
      <c r="I135" s="6"/>
      <c r="J135" s="6"/>
      <c r="K135" s="6"/>
      <c r="L135" s="6"/>
      <c r="M135" s="6"/>
      <c r="N135" s="6"/>
      <c r="O135" s="6"/>
      <c r="P135" s="6"/>
      <c r="Q135" s="6"/>
      <c r="R135" s="6"/>
      <c r="S135" s="6"/>
      <c r="T135" s="6"/>
      <c r="U135" s="6"/>
      <c r="V135" s="6"/>
      <c r="W135" s="6"/>
      <c r="X135" s="6"/>
      <c r="Y135" s="6"/>
      <c r="Z135" s="6"/>
    </row>
    <row r="136" ht="144.0" customHeight="1">
      <c r="A136" s="268" t="str">
        <f>'High Risk Non-Compliant'!B92</f>
        <v>COMP-05</v>
      </c>
      <c r="B136" s="164" t="str">
        <f>'High Risk Non-Compliant'!C92</f>
        <v>Do you have a dedicated Information Security staff or office?</v>
      </c>
      <c r="C136" s="14"/>
      <c r="D136" s="269">
        <f>'High Risk Non-Compliant'!D92</f>
        <v>0</v>
      </c>
      <c r="E136" s="40"/>
      <c r="F136" s="14"/>
      <c r="G136" s="266" t="str">
        <f>IF(VLOOKUP(A136,'High Risk Non-Compliant'!B1:K1685,$H$48,FALSE)=0,"N/A",VLOOKUP(A136,'High Risk Non-Compliant'!B1:K1685,$H$48,FALSE))</f>
        <v>#N/A</v>
      </c>
      <c r="H136" s="266" t="str">
        <f>IF(G136="N/A","N/A",VLOOKUP(G136,'Crosswalk Detail'!A1:B958,2,FALSE))</f>
        <v>#N/A</v>
      </c>
      <c r="I136" s="6"/>
      <c r="J136" s="6"/>
      <c r="K136" s="6"/>
      <c r="L136" s="6"/>
      <c r="M136" s="6"/>
      <c r="N136" s="6"/>
      <c r="O136" s="6"/>
      <c r="P136" s="6"/>
      <c r="Q136" s="6"/>
      <c r="R136" s="6"/>
      <c r="S136" s="6"/>
      <c r="T136" s="6"/>
      <c r="U136" s="6"/>
      <c r="V136" s="6"/>
      <c r="W136" s="6"/>
      <c r="X136" s="6"/>
      <c r="Y136" s="6"/>
      <c r="Z136" s="6"/>
    </row>
    <row r="137" ht="144.0" customHeight="1">
      <c r="A137" s="268" t="str">
        <f>'High Risk Non-Compliant'!B93</f>
        <v>COMP-07</v>
      </c>
      <c r="B137" s="164" t="str">
        <f>'High Risk Non-Compliant'!C93</f>
        <v>Use this area to share information about your environment that will assist those who are assessing your company data security program.</v>
      </c>
      <c r="C137" s="14"/>
      <c r="D137" s="269">
        <f>'High Risk Non-Compliant'!D93</f>
        <v>0</v>
      </c>
      <c r="E137" s="40"/>
      <c r="F137" s="14"/>
      <c r="G137" s="266" t="str">
        <f>IF(VLOOKUP(A137,'High Risk Non-Compliant'!B1:K1685,$H$48,FALSE)=0,"N/A",VLOOKUP(A137,'High Risk Non-Compliant'!B1:K1685,$H$48,FALSE))</f>
        <v>#N/A</v>
      </c>
      <c r="H137" s="266" t="str">
        <f>IF(G137="N/A","N/A",VLOOKUP(G137,'Crosswalk Detail'!A1:B958,2,FALSE))</f>
        <v>#N/A</v>
      </c>
      <c r="I137" s="6"/>
      <c r="J137" s="6"/>
      <c r="K137" s="6"/>
      <c r="L137" s="6"/>
      <c r="M137" s="6"/>
      <c r="N137" s="6"/>
      <c r="O137" s="6"/>
      <c r="P137" s="6"/>
      <c r="Q137" s="6"/>
      <c r="R137" s="6"/>
      <c r="S137" s="6"/>
      <c r="T137" s="6"/>
      <c r="U137" s="6"/>
      <c r="V137" s="6"/>
      <c r="W137" s="6"/>
      <c r="X137" s="6"/>
      <c r="Y137" s="6"/>
      <c r="Z137" s="6"/>
    </row>
    <row r="138" ht="144.0" customHeight="1">
      <c r="A138" s="271" t="str">
        <f>'High Risk Non-Compliant'!B94</f>
        <v/>
      </c>
      <c r="B138" s="272" t="str">
        <f>'High Risk Non-Compliant'!C94</f>
        <v/>
      </c>
      <c r="C138" s="14"/>
      <c r="D138" s="269" t="str">
        <f>'High Risk Non-Compliant'!D94</f>
        <v/>
      </c>
      <c r="E138" s="40"/>
      <c r="F138" s="14"/>
      <c r="G138" s="266" t="str">
        <f>IF(VLOOKUP(A138,'High Risk Non-Compliant'!B1:K1685,$H$48,FALSE)=0,"N/A",VLOOKUP(A138,'High Risk Non-Compliant'!B1:K1685,$H$48,FALSE))</f>
        <v>#N/A</v>
      </c>
      <c r="H138" s="266" t="str">
        <f>IF(G138="N/A","N/A",VLOOKUP(G138,'Crosswalk Detail'!A1:B958,2,FALSE))</f>
        <v>#N/A</v>
      </c>
      <c r="I138" s="6"/>
      <c r="J138" s="6"/>
      <c r="K138" s="6"/>
      <c r="L138" s="6"/>
      <c r="M138" s="6"/>
      <c r="N138" s="6"/>
      <c r="O138" s="6"/>
      <c r="P138" s="6"/>
      <c r="Q138" s="6"/>
      <c r="R138" s="6"/>
      <c r="S138" s="6"/>
      <c r="T138" s="6"/>
      <c r="U138" s="6"/>
      <c r="V138" s="6"/>
      <c r="W138" s="6"/>
      <c r="X138" s="6"/>
      <c r="Y138" s="6"/>
      <c r="Z138" s="6"/>
    </row>
    <row r="139" ht="144.0" customHeight="1">
      <c r="A139" s="271" t="str">
        <f>'High Risk Non-Compliant'!B95</f>
        <v/>
      </c>
      <c r="B139" s="272" t="str">
        <f>'High Risk Non-Compliant'!C95</f>
        <v/>
      </c>
      <c r="C139" s="14"/>
      <c r="D139" s="269" t="str">
        <f>'High Risk Non-Compliant'!D95</f>
        <v/>
      </c>
      <c r="E139" s="40"/>
      <c r="F139" s="14"/>
      <c r="G139" s="266" t="str">
        <f>IF(VLOOKUP(A139,'High Risk Non-Compliant'!B1:K1685,$H$48,FALSE)=0,"N/A",VLOOKUP(A139,'High Risk Non-Compliant'!B1:K1685,$H$48,FALSE))</f>
        <v>#N/A</v>
      </c>
      <c r="H139" s="266" t="str">
        <f>IF(G139="N/A","N/A",VLOOKUP(G139,'Crosswalk Detail'!A1:B958,2,FALSE))</f>
        <v>#N/A</v>
      </c>
      <c r="I139" s="6"/>
      <c r="J139" s="6"/>
      <c r="K139" s="6"/>
      <c r="L139" s="6"/>
      <c r="M139" s="6"/>
      <c r="N139" s="6"/>
      <c r="O139" s="6"/>
      <c r="P139" s="6"/>
      <c r="Q139" s="6"/>
      <c r="R139" s="6"/>
      <c r="S139" s="6"/>
      <c r="T139" s="6"/>
      <c r="U139" s="6"/>
      <c r="V139" s="6"/>
      <c r="W139" s="6"/>
      <c r="X139" s="6"/>
      <c r="Y139" s="6"/>
      <c r="Z139" s="6"/>
    </row>
    <row r="140" ht="144.0" customHeight="1">
      <c r="A140" s="271" t="str">
        <f>'High Risk Non-Compliant'!B96</f>
        <v/>
      </c>
      <c r="B140" s="272" t="str">
        <f>'High Risk Non-Compliant'!C96</f>
        <v/>
      </c>
      <c r="C140" s="14"/>
      <c r="D140" s="269" t="str">
        <f>'High Risk Non-Compliant'!D96</f>
        <v/>
      </c>
      <c r="E140" s="40"/>
      <c r="F140" s="14"/>
      <c r="G140" s="266" t="str">
        <f>IF(VLOOKUP(A140,'High Risk Non-Compliant'!B1:K1685,$H$48,FALSE)=0,"N/A",VLOOKUP(A140,'High Risk Non-Compliant'!B1:K1685,$H$48,FALSE))</f>
        <v>#N/A</v>
      </c>
      <c r="H140" s="266" t="str">
        <f>IF(G140="N/A","N/A",VLOOKUP(G140,'Crosswalk Detail'!A1:B958,2,FALSE))</f>
        <v>#N/A</v>
      </c>
      <c r="I140" s="6"/>
      <c r="J140" s="6"/>
      <c r="K140" s="6"/>
      <c r="L140" s="6"/>
      <c r="M140" s="6"/>
      <c r="N140" s="6"/>
      <c r="O140" s="6"/>
      <c r="P140" s="6"/>
      <c r="Q140" s="6"/>
      <c r="R140" s="6"/>
      <c r="S140" s="6"/>
      <c r="T140" s="6"/>
      <c r="U140" s="6"/>
      <c r="V140" s="6"/>
      <c r="W140" s="6"/>
      <c r="X140" s="6"/>
      <c r="Y140" s="6"/>
      <c r="Z140" s="6"/>
    </row>
    <row r="141" ht="144.0" customHeight="1">
      <c r="A141" s="271" t="str">
        <f>'High Risk Non-Compliant'!B97</f>
        <v/>
      </c>
      <c r="B141" s="272" t="str">
        <f>'High Risk Non-Compliant'!C97</f>
        <v/>
      </c>
      <c r="C141" s="14"/>
      <c r="D141" s="269" t="str">
        <f>'High Risk Non-Compliant'!D97</f>
        <v/>
      </c>
      <c r="E141" s="40"/>
      <c r="F141" s="14"/>
      <c r="G141" s="266" t="str">
        <f>IF(VLOOKUP(A141,'High Risk Non-Compliant'!B1:K1685,$H$48,FALSE)=0,"N/A",VLOOKUP(A141,'High Risk Non-Compliant'!B1:K1685,$H$48,FALSE))</f>
        <v>#N/A</v>
      </c>
      <c r="H141" s="266" t="str">
        <f>IF(G141="N/A","N/A",VLOOKUP(G141,'Crosswalk Detail'!A1:B958,2,FALSE))</f>
        <v>#N/A</v>
      </c>
      <c r="I141" s="6"/>
      <c r="J141" s="6"/>
      <c r="K141" s="6"/>
      <c r="L141" s="6"/>
      <c r="M141" s="6"/>
      <c r="N141" s="6"/>
      <c r="O141" s="6"/>
      <c r="P141" s="6"/>
      <c r="Q141" s="6"/>
      <c r="R141" s="6"/>
      <c r="S141" s="6"/>
      <c r="T141" s="6"/>
      <c r="U141" s="6"/>
      <c r="V141" s="6"/>
      <c r="W141" s="6"/>
      <c r="X141" s="6"/>
      <c r="Y141" s="6"/>
      <c r="Z141" s="6"/>
    </row>
    <row r="142" ht="144.0" customHeight="1">
      <c r="A142" s="271" t="str">
        <f>'High Risk Non-Compliant'!B98</f>
        <v/>
      </c>
      <c r="B142" s="272" t="str">
        <f>'High Risk Non-Compliant'!C98</f>
        <v/>
      </c>
      <c r="C142" s="14"/>
      <c r="D142" s="269" t="str">
        <f>'High Risk Non-Compliant'!D98</f>
        <v/>
      </c>
      <c r="E142" s="40"/>
      <c r="F142" s="14"/>
      <c r="G142" s="266" t="str">
        <f>IF(VLOOKUP(A142,'High Risk Non-Compliant'!B1:K1685,$H$48,FALSE)=0,"N/A",VLOOKUP(A142,'High Risk Non-Compliant'!B1:K1685,$H$48,FALSE))</f>
        <v>#N/A</v>
      </c>
      <c r="H142" s="266" t="str">
        <f>IF(G142="N/A","N/A",VLOOKUP(G142,'Crosswalk Detail'!A1:B958,2,FALSE))</f>
        <v>#N/A</v>
      </c>
      <c r="I142" s="6"/>
      <c r="J142" s="6"/>
      <c r="K142" s="6"/>
      <c r="L142" s="6"/>
      <c r="M142" s="6"/>
      <c r="N142" s="6"/>
      <c r="O142" s="6"/>
      <c r="P142" s="6"/>
      <c r="Q142" s="6"/>
      <c r="R142" s="6"/>
      <c r="S142" s="6"/>
      <c r="T142" s="6"/>
      <c r="U142" s="6"/>
      <c r="V142" s="6"/>
      <c r="W142" s="6"/>
      <c r="X142" s="6"/>
      <c r="Y142" s="6"/>
      <c r="Z142" s="6"/>
    </row>
    <row r="143" ht="144.0" customHeight="1">
      <c r="A143" s="271" t="str">
        <f>'High Risk Non-Compliant'!B99</f>
        <v/>
      </c>
      <c r="B143" s="272" t="str">
        <f>'High Risk Non-Compliant'!C99</f>
        <v/>
      </c>
      <c r="C143" s="14"/>
      <c r="D143" s="269" t="str">
        <f>'High Risk Non-Compliant'!D99</f>
        <v/>
      </c>
      <c r="E143" s="40"/>
      <c r="F143" s="14"/>
      <c r="G143" s="266" t="str">
        <f>IF(VLOOKUP(A143,'High Risk Non-Compliant'!B1:K1685,$H$48,FALSE)=0,"N/A",VLOOKUP(A143,'High Risk Non-Compliant'!B1:K1685,$H$48,FALSE))</f>
        <v>#N/A</v>
      </c>
      <c r="H143" s="266" t="str">
        <f>IF(G143="N/A","N/A",VLOOKUP(G143,'Crosswalk Detail'!A1:B958,2,FALSE))</f>
        <v>#N/A</v>
      </c>
      <c r="I143" s="6"/>
      <c r="J143" s="6"/>
      <c r="K143" s="6"/>
      <c r="L143" s="6"/>
      <c r="M143" s="6"/>
      <c r="N143" s="6"/>
      <c r="O143" s="6"/>
      <c r="P143" s="6"/>
      <c r="Q143" s="6"/>
      <c r="R143" s="6"/>
      <c r="S143" s="6"/>
      <c r="T143" s="6"/>
      <c r="U143" s="6"/>
      <c r="V143" s="6"/>
      <c r="W143" s="6"/>
      <c r="X143" s="6"/>
      <c r="Y143" s="6"/>
      <c r="Z143" s="6"/>
    </row>
    <row r="144" ht="144.0" customHeight="1">
      <c r="A144" s="271" t="str">
        <f>'High Risk Non-Compliant'!B100</f>
        <v/>
      </c>
      <c r="B144" s="272" t="str">
        <f>'High Risk Non-Compliant'!C100</f>
        <v/>
      </c>
      <c r="C144" s="14"/>
      <c r="D144" s="269" t="str">
        <f>'High Risk Non-Compliant'!D100</f>
        <v/>
      </c>
      <c r="E144" s="40"/>
      <c r="F144" s="14"/>
      <c r="G144" s="266" t="str">
        <f>IF(VLOOKUP(A144,'High Risk Non-Compliant'!B1:K1685,$H$48,FALSE)=0,"N/A",VLOOKUP(A144,'High Risk Non-Compliant'!B1:K1685,$H$48,FALSE))</f>
        <v>#N/A</v>
      </c>
      <c r="H144" s="266" t="str">
        <f>IF(G144="N/A","N/A",VLOOKUP(G144,'Crosswalk Detail'!A1:B958,2,FALSE))</f>
        <v>#N/A</v>
      </c>
      <c r="I144" s="6"/>
      <c r="J144" s="6"/>
      <c r="K144" s="6"/>
      <c r="L144" s="6"/>
      <c r="M144" s="6"/>
      <c r="N144" s="6"/>
      <c r="O144" s="6"/>
      <c r="P144" s="6"/>
      <c r="Q144" s="6"/>
      <c r="R144" s="6"/>
      <c r="S144" s="6"/>
      <c r="T144" s="6"/>
      <c r="U144" s="6"/>
      <c r="V144" s="6"/>
      <c r="W144" s="6"/>
      <c r="X144" s="6"/>
      <c r="Y144" s="6"/>
      <c r="Z144" s="6"/>
    </row>
    <row r="145" ht="144.0" customHeight="1">
      <c r="A145" s="271" t="str">
        <f>'High Risk Non-Compliant'!B101</f>
        <v/>
      </c>
      <c r="B145" s="272" t="str">
        <f>'High Risk Non-Compliant'!C101</f>
        <v/>
      </c>
      <c r="C145" s="14"/>
      <c r="D145" s="269" t="str">
        <f>'High Risk Non-Compliant'!D101</f>
        <v/>
      </c>
      <c r="E145" s="40"/>
      <c r="F145" s="14"/>
      <c r="G145" s="266" t="str">
        <f>IF(VLOOKUP(A145,'High Risk Non-Compliant'!B1:K1685,$H$48,FALSE)=0,"N/A",VLOOKUP(A145,'High Risk Non-Compliant'!B1:K1685,$H$48,FALSE))</f>
        <v>#N/A</v>
      </c>
      <c r="H145" s="266" t="str">
        <f>IF(G145="N/A","N/A",VLOOKUP(G145,'Crosswalk Detail'!A1:B958,2,FALSE))</f>
        <v>#N/A</v>
      </c>
      <c r="I145" s="6"/>
      <c r="J145" s="6"/>
      <c r="K145" s="6"/>
      <c r="L145" s="6"/>
      <c r="M145" s="6"/>
      <c r="N145" s="6"/>
      <c r="O145" s="6"/>
      <c r="P145" s="6"/>
      <c r="Q145" s="6"/>
      <c r="R145" s="6"/>
      <c r="S145" s="6"/>
      <c r="T145" s="6"/>
      <c r="U145" s="6"/>
      <c r="V145" s="6"/>
      <c r="W145" s="6"/>
      <c r="X145" s="6"/>
      <c r="Y145" s="6"/>
      <c r="Z145" s="6"/>
    </row>
    <row r="146" ht="144.0" customHeight="1">
      <c r="A146" s="271" t="str">
        <f>'High Risk Non-Compliant'!B102</f>
        <v/>
      </c>
      <c r="B146" s="272" t="str">
        <f>'High Risk Non-Compliant'!C102</f>
        <v/>
      </c>
      <c r="C146" s="14"/>
      <c r="D146" s="269" t="str">
        <f>'High Risk Non-Compliant'!D102</f>
        <v/>
      </c>
      <c r="E146" s="40"/>
      <c r="F146" s="14"/>
      <c r="G146" s="266" t="str">
        <f>IF(VLOOKUP(A146,'High Risk Non-Compliant'!B1:K1685,$H$48,FALSE)=0,"N/A",VLOOKUP(A146,'High Risk Non-Compliant'!B1:K1685,$H$48,FALSE))</f>
        <v>#N/A</v>
      </c>
      <c r="H146" s="266" t="str">
        <f>IF(G146="N/A","N/A",VLOOKUP(G146,'Crosswalk Detail'!A1:B958,2,FALSE))</f>
        <v>#N/A</v>
      </c>
      <c r="I146" s="6"/>
      <c r="J146" s="6"/>
      <c r="K146" s="6"/>
      <c r="L146" s="6"/>
      <c r="M146" s="6"/>
      <c r="N146" s="6"/>
      <c r="O146" s="6"/>
      <c r="P146" s="6"/>
      <c r="Q146" s="6"/>
      <c r="R146" s="6"/>
      <c r="S146" s="6"/>
      <c r="T146" s="6"/>
      <c r="U146" s="6"/>
      <c r="V146" s="6"/>
      <c r="W146" s="6"/>
      <c r="X146" s="6"/>
      <c r="Y146" s="6"/>
      <c r="Z146" s="6"/>
    </row>
    <row r="147" ht="144.0" customHeight="1">
      <c r="A147" s="271" t="str">
        <f>'High Risk Non-Compliant'!B103</f>
        <v/>
      </c>
      <c r="B147" s="272" t="str">
        <f>'High Risk Non-Compliant'!C103</f>
        <v/>
      </c>
      <c r="C147" s="14"/>
      <c r="D147" s="269" t="str">
        <f>'High Risk Non-Compliant'!D103</f>
        <v/>
      </c>
      <c r="E147" s="40"/>
      <c r="F147" s="14"/>
      <c r="G147" s="266" t="str">
        <f>IF(VLOOKUP(A147,'High Risk Non-Compliant'!B1:K1685,$H$48,FALSE)=0,"N/A",VLOOKUP(A147,'High Risk Non-Compliant'!B1:K1685,$H$48,FALSE))</f>
        <v>#N/A</v>
      </c>
      <c r="H147" s="266" t="str">
        <f>IF(G147="N/A","N/A",VLOOKUP(G147,'Crosswalk Detail'!A1:B958,2,FALSE))</f>
        <v>#N/A</v>
      </c>
      <c r="I147" s="6"/>
      <c r="J147" s="6"/>
      <c r="K147" s="6"/>
      <c r="L147" s="6"/>
      <c r="M147" s="6"/>
      <c r="N147" s="6"/>
      <c r="O147" s="6"/>
      <c r="P147" s="6"/>
      <c r="Q147" s="6"/>
      <c r="R147" s="6"/>
      <c r="S147" s="6"/>
      <c r="T147" s="6"/>
      <c r="U147" s="6"/>
      <c r="V147" s="6"/>
      <c r="W147" s="6"/>
      <c r="X147" s="6"/>
      <c r="Y147" s="6"/>
      <c r="Z147" s="6"/>
    </row>
    <row r="148" ht="144.0" customHeight="1">
      <c r="A148" s="271" t="str">
        <f>'High Risk Non-Compliant'!B104</f>
        <v/>
      </c>
      <c r="B148" s="272" t="str">
        <f>'High Risk Non-Compliant'!C104</f>
        <v/>
      </c>
      <c r="C148" s="14"/>
      <c r="D148" s="269" t="str">
        <f>'High Risk Non-Compliant'!D104</f>
        <v/>
      </c>
      <c r="E148" s="40"/>
      <c r="F148" s="14"/>
      <c r="G148" s="266" t="str">
        <f>IF(VLOOKUP(A148,'High Risk Non-Compliant'!B1:K1685,$H$48,FALSE)=0,"N/A",VLOOKUP(A148,'High Risk Non-Compliant'!B1:K1685,$H$48,FALSE))</f>
        <v>#N/A</v>
      </c>
      <c r="H148" s="266" t="str">
        <f>IF(G148="N/A","N/A",VLOOKUP(G148,'Crosswalk Detail'!A1:B958,2,FALSE))</f>
        <v>#N/A</v>
      </c>
      <c r="I148" s="6"/>
      <c r="J148" s="6"/>
      <c r="K148" s="6"/>
      <c r="L148" s="6"/>
      <c r="M148" s="6"/>
      <c r="N148" s="6"/>
      <c r="O148" s="6"/>
      <c r="P148" s="6"/>
      <c r="Q148" s="6"/>
      <c r="R148" s="6"/>
      <c r="S148" s="6"/>
      <c r="T148" s="6"/>
      <c r="U148" s="6"/>
      <c r="V148" s="6"/>
      <c r="W148" s="6"/>
      <c r="X148" s="6"/>
      <c r="Y148" s="6"/>
      <c r="Z148" s="6"/>
    </row>
    <row r="149" ht="144.0" customHeight="1">
      <c r="A149" s="271" t="str">
        <f>'High Risk Non-Compliant'!B105</f>
        <v/>
      </c>
      <c r="B149" s="272" t="str">
        <f>'High Risk Non-Compliant'!C105</f>
        <v/>
      </c>
      <c r="C149" s="14"/>
      <c r="D149" s="269" t="str">
        <f>'High Risk Non-Compliant'!D105</f>
        <v/>
      </c>
      <c r="E149" s="40"/>
      <c r="F149" s="14"/>
      <c r="G149" s="266" t="str">
        <f>IF(VLOOKUP(A149,'High Risk Non-Compliant'!B1:K1685,$H$48,FALSE)=0,"N/A",VLOOKUP(A149,'High Risk Non-Compliant'!B1:K1685,$H$48,FALSE))</f>
        <v>#N/A</v>
      </c>
      <c r="H149" s="266" t="str">
        <f>IF(G149="N/A","N/A",VLOOKUP(G149,'Crosswalk Detail'!A1:B958,2,FALSE))</f>
        <v>#N/A</v>
      </c>
      <c r="I149" s="6"/>
      <c r="J149" s="6"/>
      <c r="K149" s="6"/>
      <c r="L149" s="6"/>
      <c r="M149" s="6"/>
      <c r="N149" s="6"/>
      <c r="O149" s="6"/>
      <c r="P149" s="6"/>
      <c r="Q149" s="6"/>
      <c r="R149" s="6"/>
      <c r="S149" s="6"/>
      <c r="T149" s="6"/>
      <c r="U149" s="6"/>
      <c r="V149" s="6"/>
      <c r="W149" s="6"/>
      <c r="X149" s="6"/>
      <c r="Y149" s="6"/>
      <c r="Z149" s="6"/>
    </row>
    <row r="150" ht="144.0" customHeight="1">
      <c r="A150" s="271" t="str">
        <f>'High Risk Non-Compliant'!B106</f>
        <v/>
      </c>
      <c r="B150" s="272" t="str">
        <f>'High Risk Non-Compliant'!C106</f>
        <v/>
      </c>
      <c r="C150" s="14"/>
      <c r="D150" s="269" t="str">
        <f>'High Risk Non-Compliant'!D106</f>
        <v/>
      </c>
      <c r="E150" s="40"/>
      <c r="F150" s="14"/>
      <c r="G150" s="266" t="str">
        <f>IF(VLOOKUP(A150,'High Risk Non-Compliant'!B1:K1685,$H$48,FALSE)=0,"N/A",VLOOKUP(A150,'High Risk Non-Compliant'!B1:K1685,$H$48,FALSE))</f>
        <v>#N/A</v>
      </c>
      <c r="H150" s="266" t="str">
        <f>IF(G150="N/A","N/A",VLOOKUP(G150,'Crosswalk Detail'!A1:B958,2,FALSE))</f>
        <v>#N/A</v>
      </c>
      <c r="I150" s="6"/>
      <c r="J150" s="6"/>
      <c r="K150" s="6"/>
      <c r="L150" s="6"/>
      <c r="M150" s="6"/>
      <c r="N150" s="6"/>
      <c r="O150" s="6"/>
      <c r="P150" s="6"/>
      <c r="Q150" s="6"/>
      <c r="R150" s="6"/>
      <c r="S150" s="6"/>
      <c r="T150" s="6"/>
      <c r="U150" s="6"/>
      <c r="V150" s="6"/>
      <c r="W150" s="6"/>
      <c r="X150" s="6"/>
      <c r="Y150" s="6"/>
      <c r="Z150" s="6"/>
    </row>
    <row r="151" ht="144.0" customHeight="1">
      <c r="A151" s="271" t="str">
        <f>'High Risk Non-Compliant'!B107</f>
        <v/>
      </c>
      <c r="B151" s="272" t="str">
        <f>'High Risk Non-Compliant'!C107</f>
        <v/>
      </c>
      <c r="C151" s="14"/>
      <c r="D151" s="269" t="str">
        <f>'High Risk Non-Compliant'!D107</f>
        <v/>
      </c>
      <c r="E151" s="40"/>
      <c r="F151" s="14"/>
      <c r="G151" s="266" t="str">
        <f>IF(VLOOKUP(A151,'High Risk Non-Compliant'!B1:K1685,$H$48,FALSE)=0,"N/A",VLOOKUP(A151,'High Risk Non-Compliant'!B1:K1685,$H$48,FALSE))</f>
        <v>#N/A</v>
      </c>
      <c r="H151" s="266" t="str">
        <f>IF(G151="N/A","N/A",VLOOKUP(G151,'Crosswalk Detail'!A1:B958,2,FALSE))</f>
        <v>#N/A</v>
      </c>
      <c r="I151" s="6"/>
      <c r="J151" s="6"/>
      <c r="K151" s="6"/>
      <c r="L151" s="6"/>
      <c r="M151" s="6"/>
      <c r="N151" s="6"/>
      <c r="O151" s="6"/>
      <c r="P151" s="6"/>
      <c r="Q151" s="6"/>
      <c r="R151" s="6"/>
      <c r="S151" s="6"/>
      <c r="T151" s="6"/>
      <c r="U151" s="6"/>
      <c r="V151" s="6"/>
      <c r="W151" s="6"/>
      <c r="X151" s="6"/>
      <c r="Y151" s="6"/>
      <c r="Z151" s="6"/>
    </row>
    <row r="152" ht="144.0" customHeight="1">
      <c r="A152" s="271" t="str">
        <f>'High Risk Non-Compliant'!B108</f>
        <v/>
      </c>
      <c r="B152" s="272" t="str">
        <f>'High Risk Non-Compliant'!C108</f>
        <v/>
      </c>
      <c r="C152" s="14"/>
      <c r="D152" s="269" t="str">
        <f>'High Risk Non-Compliant'!D108</f>
        <v/>
      </c>
      <c r="E152" s="40"/>
      <c r="F152" s="14"/>
      <c r="G152" s="266" t="str">
        <f>IF(VLOOKUP(A152,'High Risk Non-Compliant'!B1:K1685,$H$48,FALSE)=0,"N/A",VLOOKUP(A152,'High Risk Non-Compliant'!B1:K1685,$H$48,FALSE))</f>
        <v>#N/A</v>
      </c>
      <c r="H152" s="266" t="str">
        <f>IF(G152="N/A","N/A",VLOOKUP(G152,'Crosswalk Detail'!A1:B958,2,FALSE))</f>
        <v>#N/A</v>
      </c>
      <c r="I152" s="6"/>
      <c r="J152" s="6"/>
      <c r="K152" s="6"/>
      <c r="L152" s="6"/>
      <c r="M152" s="6"/>
      <c r="N152" s="6"/>
      <c r="O152" s="6"/>
      <c r="P152" s="6"/>
      <c r="Q152" s="6"/>
      <c r="R152" s="6"/>
      <c r="S152" s="6"/>
      <c r="T152" s="6"/>
      <c r="U152" s="6"/>
      <c r="V152" s="6"/>
      <c r="W152" s="6"/>
      <c r="X152" s="6"/>
      <c r="Y152" s="6"/>
      <c r="Z152" s="6"/>
    </row>
    <row r="153" ht="144.0" customHeight="1">
      <c r="A153" s="271" t="str">
        <f>'High Risk Non-Compliant'!B109</f>
        <v/>
      </c>
      <c r="B153" s="272" t="str">
        <f>'High Risk Non-Compliant'!C109</f>
        <v/>
      </c>
      <c r="C153" s="14"/>
      <c r="D153" s="269" t="str">
        <f>'High Risk Non-Compliant'!D109</f>
        <v/>
      </c>
      <c r="E153" s="40"/>
      <c r="F153" s="14"/>
      <c r="G153" s="266" t="str">
        <f>IF(VLOOKUP(A153,'High Risk Non-Compliant'!B1:K1685,$H$48,FALSE)=0,"N/A",VLOOKUP(A153,'High Risk Non-Compliant'!B1:K1685,$H$48,FALSE))</f>
        <v>#N/A</v>
      </c>
      <c r="H153" s="266" t="str">
        <f>IF(G153="N/A","N/A",VLOOKUP(G153,'Crosswalk Detail'!A1:B958,2,FALSE))</f>
        <v>#N/A</v>
      </c>
      <c r="I153" s="6"/>
      <c r="J153" s="6"/>
      <c r="K153" s="6"/>
      <c r="L153" s="6"/>
      <c r="M153" s="6"/>
      <c r="N153" s="6"/>
      <c r="O153" s="6"/>
      <c r="P153" s="6"/>
      <c r="Q153" s="6"/>
      <c r="R153" s="6"/>
      <c r="S153" s="6"/>
      <c r="T153" s="6"/>
      <c r="U153" s="6"/>
      <c r="V153" s="6"/>
      <c r="W153" s="6"/>
      <c r="X153" s="6"/>
      <c r="Y153" s="6"/>
      <c r="Z153" s="6"/>
    </row>
    <row r="154" ht="144.0" customHeight="1">
      <c r="A154" s="271" t="str">
        <f>'High Risk Non-Compliant'!B110</f>
        <v/>
      </c>
      <c r="B154" s="272" t="str">
        <f>'High Risk Non-Compliant'!C110</f>
        <v/>
      </c>
      <c r="C154" s="14"/>
      <c r="D154" s="269" t="str">
        <f>'High Risk Non-Compliant'!D110</f>
        <v/>
      </c>
      <c r="E154" s="40"/>
      <c r="F154" s="14"/>
      <c r="G154" s="266" t="str">
        <f>IF(VLOOKUP(A154,'High Risk Non-Compliant'!B1:K1685,$H$48,FALSE)=0,"N/A",VLOOKUP(A154,'High Risk Non-Compliant'!B1:K1685,$H$48,FALSE))</f>
        <v>#N/A</v>
      </c>
      <c r="H154" s="266" t="str">
        <f>IF(G154="N/A","N/A",VLOOKUP(G154,'Crosswalk Detail'!A1:B958,2,FALSE))</f>
        <v>#N/A</v>
      </c>
      <c r="I154" s="6"/>
      <c r="J154" s="6"/>
      <c r="K154" s="6"/>
      <c r="L154" s="6"/>
      <c r="M154" s="6"/>
      <c r="N154" s="6"/>
      <c r="O154" s="6"/>
      <c r="P154" s="6"/>
      <c r="Q154" s="6"/>
      <c r="R154" s="6"/>
      <c r="S154" s="6"/>
      <c r="T154" s="6"/>
      <c r="U154" s="6"/>
      <c r="V154" s="6"/>
      <c r="W154" s="6"/>
      <c r="X154" s="6"/>
      <c r="Y154" s="6"/>
      <c r="Z154" s="6"/>
    </row>
    <row r="155" ht="144.0" customHeight="1">
      <c r="A155" s="271" t="str">
        <f>'High Risk Non-Compliant'!B111</f>
        <v/>
      </c>
      <c r="B155" s="272" t="str">
        <f>'High Risk Non-Compliant'!C111</f>
        <v/>
      </c>
      <c r="C155" s="14"/>
      <c r="D155" s="269" t="str">
        <f>'High Risk Non-Compliant'!D111</f>
        <v/>
      </c>
      <c r="E155" s="40"/>
      <c r="F155" s="14"/>
      <c r="G155" s="266" t="str">
        <f>IF(VLOOKUP(A155,'High Risk Non-Compliant'!B1:K1685,$H$48,FALSE)=0,"N/A",VLOOKUP(A155,'High Risk Non-Compliant'!B1:K1685,$H$48,FALSE))</f>
        <v>#N/A</v>
      </c>
      <c r="H155" s="266" t="str">
        <f>IF(G155="N/A","N/A",VLOOKUP(G155,'Crosswalk Detail'!A1:B958,2,FALSE))</f>
        <v>#N/A</v>
      </c>
      <c r="I155" s="6"/>
      <c r="J155" s="6"/>
      <c r="K155" s="6"/>
      <c r="L155" s="6"/>
      <c r="M155" s="6"/>
      <c r="N155" s="6"/>
      <c r="O155" s="6"/>
      <c r="P155" s="6"/>
      <c r="Q155" s="6"/>
      <c r="R155" s="6"/>
      <c r="S155" s="6"/>
      <c r="T155" s="6"/>
      <c r="U155" s="6"/>
      <c r="V155" s="6"/>
      <c r="W155" s="6"/>
      <c r="X155" s="6"/>
      <c r="Y155" s="6"/>
      <c r="Z155" s="6"/>
    </row>
    <row r="156" ht="144.0" customHeight="1">
      <c r="A156" s="271" t="str">
        <f>'High Risk Non-Compliant'!B112</f>
        <v/>
      </c>
      <c r="B156" s="272" t="str">
        <f>'High Risk Non-Compliant'!C112</f>
        <v/>
      </c>
      <c r="C156" s="14"/>
      <c r="D156" s="269" t="str">
        <f>'High Risk Non-Compliant'!D112</f>
        <v/>
      </c>
      <c r="E156" s="40"/>
      <c r="F156" s="14"/>
      <c r="G156" s="266" t="str">
        <f>IF(VLOOKUP(A156,'High Risk Non-Compliant'!B1:K1685,$H$48,FALSE)=0,"N/A",VLOOKUP(A156,'High Risk Non-Compliant'!B1:K1685,$H$48,FALSE))</f>
        <v>#N/A</v>
      </c>
      <c r="H156" s="266" t="str">
        <f>IF(G156="N/A","N/A",VLOOKUP(G156,'Crosswalk Detail'!A1:B958,2,FALSE))</f>
        <v>#N/A</v>
      </c>
      <c r="I156" s="6"/>
      <c r="J156" s="6"/>
      <c r="K156" s="6"/>
      <c r="L156" s="6"/>
      <c r="M156" s="6"/>
      <c r="N156" s="6"/>
      <c r="O156" s="6"/>
      <c r="P156" s="6"/>
      <c r="Q156" s="6"/>
      <c r="R156" s="6"/>
      <c r="S156" s="6"/>
      <c r="T156" s="6"/>
      <c r="U156" s="6"/>
      <c r="V156" s="6"/>
      <c r="W156" s="6"/>
      <c r="X156" s="6"/>
      <c r="Y156" s="6"/>
      <c r="Z156" s="6"/>
    </row>
    <row r="157" ht="144.0" customHeight="1">
      <c r="A157" s="271" t="str">
        <f>'High Risk Non-Compliant'!B113</f>
        <v/>
      </c>
      <c r="B157" s="272" t="str">
        <f>'High Risk Non-Compliant'!C113</f>
        <v/>
      </c>
      <c r="C157" s="14"/>
      <c r="D157" s="269" t="str">
        <f>'High Risk Non-Compliant'!D113</f>
        <v/>
      </c>
      <c r="E157" s="40"/>
      <c r="F157" s="14"/>
      <c r="G157" s="266" t="str">
        <f>IF(VLOOKUP(A157,'High Risk Non-Compliant'!B1:K1685,$H$48,FALSE)=0,"N/A",VLOOKUP(A157,'High Risk Non-Compliant'!B1:K1685,$H$48,FALSE))</f>
        <v>#N/A</v>
      </c>
      <c r="H157" s="266" t="str">
        <f>IF(G157="N/A","N/A",VLOOKUP(G157,'Crosswalk Detail'!A1:B958,2,FALSE))</f>
        <v>#N/A</v>
      </c>
      <c r="I157" s="6"/>
      <c r="J157" s="6"/>
      <c r="K157" s="6"/>
      <c r="L157" s="6"/>
      <c r="M157" s="6"/>
      <c r="N157" s="6"/>
      <c r="O157" s="6"/>
      <c r="P157" s="6"/>
      <c r="Q157" s="6"/>
      <c r="R157" s="6"/>
      <c r="S157" s="6"/>
      <c r="T157" s="6"/>
      <c r="U157" s="6"/>
      <c r="V157" s="6"/>
      <c r="W157" s="6"/>
      <c r="X157" s="6"/>
      <c r="Y157" s="6"/>
      <c r="Z157" s="6"/>
    </row>
    <row r="158" ht="144.0" customHeight="1">
      <c r="A158" s="271" t="str">
        <f>'High Risk Non-Compliant'!B114</f>
        <v/>
      </c>
      <c r="B158" s="272" t="str">
        <f>'High Risk Non-Compliant'!C114</f>
        <v/>
      </c>
      <c r="C158" s="14"/>
      <c r="D158" s="269" t="str">
        <f>'High Risk Non-Compliant'!D114</f>
        <v/>
      </c>
      <c r="E158" s="40"/>
      <c r="F158" s="14"/>
      <c r="G158" s="266" t="str">
        <f>IF(VLOOKUP(A158,'High Risk Non-Compliant'!B1:K1685,$H$48,FALSE)=0,"N/A",VLOOKUP(A158,'High Risk Non-Compliant'!B1:K1685,$H$48,FALSE))</f>
        <v>#N/A</v>
      </c>
      <c r="H158" s="266" t="str">
        <f>IF(G158="N/A","N/A",VLOOKUP(G158,'Crosswalk Detail'!A1:B958,2,FALSE))</f>
        <v>#N/A</v>
      </c>
      <c r="I158" s="6"/>
      <c r="J158" s="6"/>
      <c r="K158" s="6"/>
      <c r="L158" s="6"/>
      <c r="M158" s="6"/>
      <c r="N158" s="6"/>
      <c r="O158" s="6"/>
      <c r="P158" s="6"/>
      <c r="Q158" s="6"/>
      <c r="R158" s="6"/>
      <c r="S158" s="6"/>
      <c r="T158" s="6"/>
      <c r="U158" s="6"/>
      <c r="V158" s="6"/>
      <c r="W158" s="6"/>
      <c r="X158" s="6"/>
      <c r="Y158" s="6"/>
      <c r="Z158" s="6"/>
    </row>
    <row r="159" ht="144.0" customHeight="1">
      <c r="A159" s="271" t="str">
        <f>'High Risk Non-Compliant'!B115</f>
        <v/>
      </c>
      <c r="B159" s="272" t="str">
        <f>'High Risk Non-Compliant'!C115</f>
        <v/>
      </c>
      <c r="C159" s="14"/>
      <c r="D159" s="269" t="str">
        <f>'High Risk Non-Compliant'!D115</f>
        <v/>
      </c>
      <c r="E159" s="40"/>
      <c r="F159" s="14"/>
      <c r="G159" s="266" t="str">
        <f>IF(VLOOKUP(A159,'High Risk Non-Compliant'!B1:K1685,$H$48,FALSE)=0,"N/A",VLOOKUP(A159,'High Risk Non-Compliant'!B1:K1685,$H$48,FALSE))</f>
        <v>#N/A</v>
      </c>
      <c r="H159" s="266" t="str">
        <f>IF(G159="N/A","N/A",VLOOKUP(G159,'Crosswalk Detail'!A1:B958,2,FALSE))</f>
        <v>#N/A</v>
      </c>
      <c r="I159" s="6"/>
      <c r="J159" s="6"/>
      <c r="K159" s="6"/>
      <c r="L159" s="6"/>
      <c r="M159" s="6"/>
      <c r="N159" s="6"/>
      <c r="O159" s="6"/>
      <c r="P159" s="6"/>
      <c r="Q159" s="6"/>
      <c r="R159" s="6"/>
      <c r="S159" s="6"/>
      <c r="T159" s="6"/>
      <c r="U159" s="6"/>
      <c r="V159" s="6"/>
      <c r="W159" s="6"/>
      <c r="X159" s="6"/>
      <c r="Y159" s="6"/>
      <c r="Z159" s="6"/>
    </row>
    <row r="160" ht="144.0" customHeight="1">
      <c r="A160" s="271" t="str">
        <f>'High Risk Non-Compliant'!B116</f>
        <v/>
      </c>
      <c r="B160" s="272" t="str">
        <f>'High Risk Non-Compliant'!C116</f>
        <v/>
      </c>
      <c r="C160" s="14"/>
      <c r="D160" s="269" t="str">
        <f>'High Risk Non-Compliant'!D116</f>
        <v/>
      </c>
      <c r="E160" s="40"/>
      <c r="F160" s="14"/>
      <c r="G160" s="266" t="str">
        <f>IF(VLOOKUP(A160,'High Risk Non-Compliant'!B1:K1685,$H$48,FALSE)=0,"N/A",VLOOKUP(A160,'High Risk Non-Compliant'!B1:K1685,$H$48,FALSE))</f>
        <v>#N/A</v>
      </c>
      <c r="H160" s="266" t="str">
        <f>IF(G160="N/A","N/A",VLOOKUP(G160,'Crosswalk Detail'!A1:B958,2,FALSE))</f>
        <v>#N/A</v>
      </c>
      <c r="I160" s="6"/>
      <c r="J160" s="6"/>
      <c r="K160" s="6"/>
      <c r="L160" s="6"/>
      <c r="M160" s="6"/>
      <c r="N160" s="6"/>
      <c r="O160" s="6"/>
      <c r="P160" s="6"/>
      <c r="Q160" s="6"/>
      <c r="R160" s="6"/>
      <c r="S160" s="6"/>
      <c r="T160" s="6"/>
      <c r="U160" s="6"/>
      <c r="V160" s="6"/>
      <c r="W160" s="6"/>
      <c r="X160" s="6"/>
      <c r="Y160" s="6"/>
      <c r="Z160" s="6"/>
    </row>
    <row r="161" ht="144.0" customHeight="1">
      <c r="A161" s="271" t="str">
        <f>'High Risk Non-Compliant'!B117</f>
        <v/>
      </c>
      <c r="B161" s="272" t="str">
        <f>'High Risk Non-Compliant'!C117</f>
        <v/>
      </c>
      <c r="C161" s="14"/>
      <c r="D161" s="269" t="str">
        <f>'High Risk Non-Compliant'!D117</f>
        <v/>
      </c>
      <c r="E161" s="40"/>
      <c r="F161" s="14"/>
      <c r="G161" s="266" t="str">
        <f>IF(VLOOKUP(A161,'High Risk Non-Compliant'!B1:K1685,$H$48,FALSE)=0,"N/A",VLOOKUP(A161,'High Risk Non-Compliant'!B1:K1685,$H$48,FALSE))</f>
        <v>#N/A</v>
      </c>
      <c r="H161" s="266" t="str">
        <f>IF(G161="N/A","N/A",VLOOKUP(G161,'Crosswalk Detail'!A1:B958,2,FALSE))</f>
        <v>#N/A</v>
      </c>
      <c r="I161" s="6"/>
      <c r="J161" s="6"/>
      <c r="K161" s="6"/>
      <c r="L161" s="6"/>
      <c r="M161" s="6"/>
      <c r="N161" s="6"/>
      <c r="O161" s="6"/>
      <c r="P161" s="6"/>
      <c r="Q161" s="6"/>
      <c r="R161" s="6"/>
      <c r="S161" s="6"/>
      <c r="T161" s="6"/>
      <c r="U161" s="6"/>
      <c r="V161" s="6"/>
      <c r="W161" s="6"/>
      <c r="X161" s="6"/>
      <c r="Y161" s="6"/>
      <c r="Z161" s="6"/>
    </row>
    <row r="162" ht="144.0" customHeight="1">
      <c r="A162" s="271" t="str">
        <f>'High Risk Non-Compliant'!B118</f>
        <v/>
      </c>
      <c r="B162" s="272" t="str">
        <f>'High Risk Non-Compliant'!C118</f>
        <v/>
      </c>
      <c r="C162" s="14"/>
      <c r="D162" s="269" t="str">
        <f>'High Risk Non-Compliant'!D118</f>
        <v/>
      </c>
      <c r="E162" s="40"/>
      <c r="F162" s="14"/>
      <c r="G162" s="266" t="str">
        <f>IF(VLOOKUP(A162,'High Risk Non-Compliant'!B1:K1685,$H$48,FALSE)=0,"N/A",VLOOKUP(A162,'High Risk Non-Compliant'!B1:K1685,$H$48,FALSE))</f>
        <v>#N/A</v>
      </c>
      <c r="H162" s="266" t="str">
        <f>IF(G162="N/A","N/A",VLOOKUP(G162,'Crosswalk Detail'!A1:B958,2,FALSE))</f>
        <v>#N/A</v>
      </c>
      <c r="I162" s="6"/>
      <c r="J162" s="6"/>
      <c r="K162" s="6"/>
      <c r="L162" s="6"/>
      <c r="M162" s="6"/>
      <c r="N162" s="6"/>
      <c r="O162" s="6"/>
      <c r="P162" s="6"/>
      <c r="Q162" s="6"/>
      <c r="R162" s="6"/>
      <c r="S162" s="6"/>
      <c r="T162" s="6"/>
      <c r="U162" s="6"/>
      <c r="V162" s="6"/>
      <c r="W162" s="6"/>
      <c r="X162" s="6"/>
      <c r="Y162" s="6"/>
      <c r="Z162" s="6"/>
    </row>
    <row r="163" ht="144.0" customHeight="1">
      <c r="A163" s="271" t="str">
        <f>'High Risk Non-Compliant'!B119</f>
        <v/>
      </c>
      <c r="B163" s="272" t="str">
        <f>'High Risk Non-Compliant'!C119</f>
        <v/>
      </c>
      <c r="C163" s="14"/>
      <c r="D163" s="269" t="str">
        <f>'High Risk Non-Compliant'!D119</f>
        <v/>
      </c>
      <c r="E163" s="40"/>
      <c r="F163" s="14"/>
      <c r="G163" s="266" t="str">
        <f>IF(VLOOKUP(A163,'High Risk Non-Compliant'!B1:K1685,$H$48,FALSE)=0,"N/A",VLOOKUP(A163,'High Risk Non-Compliant'!B1:K1685,$H$48,FALSE))</f>
        <v>#N/A</v>
      </c>
      <c r="H163" s="266" t="str">
        <f>IF(G163="N/A","N/A",VLOOKUP(G163,'Crosswalk Detail'!A1:B958,2,FALSE))</f>
        <v>#N/A</v>
      </c>
      <c r="I163" s="6"/>
      <c r="J163" s="6"/>
      <c r="K163" s="6"/>
      <c r="L163" s="6"/>
      <c r="M163" s="6"/>
      <c r="N163" s="6"/>
      <c r="O163" s="6"/>
      <c r="P163" s="6"/>
      <c r="Q163" s="6"/>
      <c r="R163" s="6"/>
      <c r="S163" s="6"/>
      <c r="T163" s="6"/>
      <c r="U163" s="6"/>
      <c r="V163" s="6"/>
      <c r="W163" s="6"/>
      <c r="X163" s="6"/>
      <c r="Y163" s="6"/>
      <c r="Z163" s="6"/>
    </row>
    <row r="164" ht="144.0" customHeight="1">
      <c r="A164" s="271" t="str">
        <f>'High Risk Non-Compliant'!B120</f>
        <v/>
      </c>
      <c r="B164" s="272" t="str">
        <f>'High Risk Non-Compliant'!C120</f>
        <v/>
      </c>
      <c r="C164" s="14"/>
      <c r="D164" s="269" t="str">
        <f>'High Risk Non-Compliant'!D120</f>
        <v/>
      </c>
      <c r="E164" s="40"/>
      <c r="F164" s="14"/>
      <c r="G164" s="266" t="str">
        <f>IF(VLOOKUP(A164,'High Risk Non-Compliant'!B1:K1685,$H$48,FALSE)=0,"N/A",VLOOKUP(A164,'High Risk Non-Compliant'!B1:K1685,$H$48,FALSE))</f>
        <v>#N/A</v>
      </c>
      <c r="H164" s="266" t="str">
        <f>IF(G164="N/A","N/A",VLOOKUP(G164,'Crosswalk Detail'!A1:B958,2,FALSE))</f>
        <v>#N/A</v>
      </c>
      <c r="I164" s="6"/>
      <c r="J164" s="6"/>
      <c r="K164" s="6"/>
      <c r="L164" s="6"/>
      <c r="M164" s="6"/>
      <c r="N164" s="6"/>
      <c r="O164" s="6"/>
      <c r="P164" s="6"/>
      <c r="Q164" s="6"/>
      <c r="R164" s="6"/>
      <c r="S164" s="6"/>
      <c r="T164" s="6"/>
      <c r="U164" s="6"/>
      <c r="V164" s="6"/>
      <c r="W164" s="6"/>
      <c r="X164" s="6"/>
      <c r="Y164" s="6"/>
      <c r="Z164" s="6"/>
    </row>
    <row r="165" ht="144.0" customHeight="1">
      <c r="A165" s="271" t="str">
        <f>'High Risk Non-Compliant'!B121</f>
        <v/>
      </c>
      <c r="B165" s="272" t="str">
        <f>'High Risk Non-Compliant'!C121</f>
        <v/>
      </c>
      <c r="C165" s="14"/>
      <c r="D165" s="269" t="str">
        <f>'High Risk Non-Compliant'!D121</f>
        <v/>
      </c>
      <c r="E165" s="40"/>
      <c r="F165" s="14"/>
      <c r="G165" s="266" t="str">
        <f>IF(VLOOKUP(A165,'High Risk Non-Compliant'!B1:K1685,$H$48,FALSE)=0,"N/A",VLOOKUP(A165,'High Risk Non-Compliant'!B1:K1685,$H$48,FALSE))</f>
        <v>#N/A</v>
      </c>
      <c r="H165" s="266" t="str">
        <f>IF(G165="N/A","N/A",VLOOKUP(G165,'Crosswalk Detail'!A1:B958,2,FALSE))</f>
        <v>#N/A</v>
      </c>
      <c r="I165" s="6"/>
      <c r="J165" s="6"/>
      <c r="K165" s="6"/>
      <c r="L165" s="6"/>
      <c r="M165" s="6"/>
      <c r="N165" s="6"/>
      <c r="O165" s="6"/>
      <c r="P165" s="6"/>
      <c r="Q165" s="6"/>
      <c r="R165" s="6"/>
      <c r="S165" s="6"/>
      <c r="T165" s="6"/>
      <c r="U165" s="6"/>
      <c r="V165" s="6"/>
      <c r="W165" s="6"/>
      <c r="X165" s="6"/>
      <c r="Y165" s="6"/>
      <c r="Z165" s="6"/>
    </row>
    <row r="166" ht="144.0" customHeight="1">
      <c r="A166" s="271" t="str">
        <f>'High Risk Non-Compliant'!B122</f>
        <v/>
      </c>
      <c r="B166" s="272" t="str">
        <f>'High Risk Non-Compliant'!C122</f>
        <v/>
      </c>
      <c r="C166" s="14"/>
      <c r="D166" s="269" t="str">
        <f>'High Risk Non-Compliant'!D122</f>
        <v/>
      </c>
      <c r="E166" s="40"/>
      <c r="F166" s="14"/>
      <c r="G166" s="266" t="str">
        <f>IF(VLOOKUP(A166,'High Risk Non-Compliant'!B1:K1685,$H$48,FALSE)=0,"N/A",VLOOKUP(A166,'High Risk Non-Compliant'!B1:K1685,$H$48,FALSE))</f>
        <v>#N/A</v>
      </c>
      <c r="H166" s="266" t="str">
        <f>IF(G166="N/A","N/A",VLOOKUP(G166,'Crosswalk Detail'!A1:B958,2,FALSE))</f>
        <v>#N/A</v>
      </c>
      <c r="I166" s="6"/>
      <c r="J166" s="6"/>
      <c r="K166" s="6"/>
      <c r="L166" s="6"/>
      <c r="M166" s="6"/>
      <c r="N166" s="6"/>
      <c r="O166" s="6"/>
      <c r="P166" s="6"/>
      <c r="Q166" s="6"/>
      <c r="R166" s="6"/>
      <c r="S166" s="6"/>
      <c r="T166" s="6"/>
      <c r="U166" s="6"/>
      <c r="V166" s="6"/>
      <c r="W166" s="6"/>
      <c r="X166" s="6"/>
      <c r="Y166" s="6"/>
      <c r="Z166" s="6"/>
    </row>
    <row r="167" ht="144.0" customHeight="1">
      <c r="A167" s="271" t="str">
        <f>'High Risk Non-Compliant'!B123</f>
        <v/>
      </c>
      <c r="B167" s="272" t="str">
        <f>'High Risk Non-Compliant'!C123</f>
        <v/>
      </c>
      <c r="C167" s="14"/>
      <c r="D167" s="269" t="str">
        <f>'High Risk Non-Compliant'!D123</f>
        <v/>
      </c>
      <c r="E167" s="40"/>
      <c r="F167" s="14"/>
      <c r="G167" s="266" t="str">
        <f>IF(VLOOKUP(A167,'High Risk Non-Compliant'!B1:K1685,$H$48,FALSE)=0,"N/A",VLOOKUP(A167,'High Risk Non-Compliant'!B1:K1685,$H$48,FALSE))</f>
        <v>#N/A</v>
      </c>
      <c r="H167" s="266" t="str">
        <f>IF(G167="N/A","N/A",VLOOKUP(G167,'Crosswalk Detail'!A1:B958,2,FALSE))</f>
        <v>#N/A</v>
      </c>
      <c r="I167" s="6"/>
      <c r="J167" s="6"/>
      <c r="K167" s="6"/>
      <c r="L167" s="6"/>
      <c r="M167" s="6"/>
      <c r="N167" s="6"/>
      <c r="O167" s="6"/>
      <c r="P167" s="6"/>
      <c r="Q167" s="6"/>
      <c r="R167" s="6"/>
      <c r="S167" s="6"/>
      <c r="T167" s="6"/>
      <c r="U167" s="6"/>
      <c r="V167" s="6"/>
      <c r="W167" s="6"/>
      <c r="X167" s="6"/>
      <c r="Y167" s="6"/>
      <c r="Z167" s="6"/>
    </row>
    <row r="168" ht="144.0" customHeight="1">
      <c r="A168" s="271" t="str">
        <f>'High Risk Non-Compliant'!B124</f>
        <v/>
      </c>
      <c r="B168" s="272" t="str">
        <f>'High Risk Non-Compliant'!C124</f>
        <v/>
      </c>
      <c r="C168" s="14"/>
      <c r="D168" s="269" t="str">
        <f>'High Risk Non-Compliant'!D124</f>
        <v/>
      </c>
      <c r="E168" s="40"/>
      <c r="F168" s="14"/>
      <c r="G168" s="266" t="str">
        <f>IF(VLOOKUP(A168,'High Risk Non-Compliant'!B1:K1685,$H$48,FALSE)=0,"N/A",VLOOKUP(A168,'High Risk Non-Compliant'!B1:K1685,$H$48,FALSE))</f>
        <v>#N/A</v>
      </c>
      <c r="H168" s="266" t="str">
        <f>IF(G168="N/A","N/A",VLOOKUP(G168,'Crosswalk Detail'!A1:B958,2,FALSE))</f>
        <v>#N/A</v>
      </c>
      <c r="I168" s="6"/>
      <c r="J168" s="6"/>
      <c r="K168" s="6"/>
      <c r="L168" s="6"/>
      <c r="M168" s="6"/>
      <c r="N168" s="6"/>
      <c r="O168" s="6"/>
      <c r="P168" s="6"/>
      <c r="Q168" s="6"/>
      <c r="R168" s="6"/>
      <c r="S168" s="6"/>
      <c r="T168" s="6"/>
      <c r="U168" s="6"/>
      <c r="V168" s="6"/>
      <c r="W168" s="6"/>
      <c r="X168" s="6"/>
      <c r="Y168" s="6"/>
      <c r="Z168" s="6"/>
    </row>
    <row r="169" ht="144.0" customHeight="1">
      <c r="A169" s="271" t="str">
        <f>'High Risk Non-Compliant'!B125</f>
        <v/>
      </c>
      <c r="B169" s="272" t="str">
        <f>'High Risk Non-Compliant'!C125</f>
        <v/>
      </c>
      <c r="C169" s="14"/>
      <c r="D169" s="269" t="str">
        <f>'High Risk Non-Compliant'!D125</f>
        <v/>
      </c>
      <c r="E169" s="40"/>
      <c r="F169" s="14"/>
      <c r="G169" s="266" t="str">
        <f>IF(VLOOKUP(A169,'High Risk Non-Compliant'!B1:K1685,$H$48,FALSE)=0,"N/A",VLOOKUP(A169,'High Risk Non-Compliant'!B1:K1685,$H$48,FALSE))</f>
        <v>#N/A</v>
      </c>
      <c r="H169" s="266" t="str">
        <f>IF(G169="N/A","N/A",VLOOKUP(G169,'Crosswalk Detail'!A1:B958,2,FALSE))</f>
        <v>#N/A</v>
      </c>
      <c r="I169" s="6"/>
      <c r="J169" s="6"/>
      <c r="K169" s="6"/>
      <c r="L169" s="6"/>
      <c r="M169" s="6"/>
      <c r="N169" s="6"/>
      <c r="O169" s="6"/>
      <c r="P169" s="6"/>
      <c r="Q169" s="6"/>
      <c r="R169" s="6"/>
      <c r="S169" s="6"/>
      <c r="T169" s="6"/>
      <c r="U169" s="6"/>
      <c r="V169" s="6"/>
      <c r="W169" s="6"/>
      <c r="X169" s="6"/>
      <c r="Y169" s="6"/>
      <c r="Z169" s="6"/>
    </row>
    <row r="170" ht="144.0" customHeight="1">
      <c r="A170" s="271" t="str">
        <f>'High Risk Non-Compliant'!B126</f>
        <v/>
      </c>
      <c r="B170" s="272" t="str">
        <f>'High Risk Non-Compliant'!C126</f>
        <v/>
      </c>
      <c r="C170" s="14"/>
      <c r="D170" s="269" t="str">
        <f>'High Risk Non-Compliant'!D126</f>
        <v/>
      </c>
      <c r="E170" s="40"/>
      <c r="F170" s="14"/>
      <c r="G170" s="266" t="str">
        <f>IF(VLOOKUP(A170,'High Risk Non-Compliant'!B1:K1685,$H$48,FALSE)=0,"N/A",VLOOKUP(A170,'High Risk Non-Compliant'!B1:K1685,$H$48,FALSE))</f>
        <v>#N/A</v>
      </c>
      <c r="H170" s="266" t="str">
        <f>IF(G170="N/A","N/A",VLOOKUP(G170,'Crosswalk Detail'!A1:B958,2,FALSE))</f>
        <v>#N/A</v>
      </c>
      <c r="I170" s="6"/>
      <c r="J170" s="6"/>
      <c r="K170" s="6"/>
      <c r="L170" s="6"/>
      <c r="M170" s="6"/>
      <c r="N170" s="6"/>
      <c r="O170" s="6"/>
      <c r="P170" s="6"/>
      <c r="Q170" s="6"/>
      <c r="R170" s="6"/>
      <c r="S170" s="6"/>
      <c r="T170" s="6"/>
      <c r="U170" s="6"/>
      <c r="V170" s="6"/>
      <c r="W170" s="6"/>
      <c r="X170" s="6"/>
      <c r="Y170" s="6"/>
      <c r="Z170" s="6"/>
    </row>
    <row r="171" ht="144.0" customHeight="1">
      <c r="A171" s="271" t="str">
        <f>'High Risk Non-Compliant'!B127</f>
        <v/>
      </c>
      <c r="B171" s="272" t="str">
        <f>'High Risk Non-Compliant'!C127</f>
        <v/>
      </c>
      <c r="C171" s="14"/>
      <c r="D171" s="269" t="str">
        <f>'High Risk Non-Compliant'!D127</f>
        <v/>
      </c>
      <c r="E171" s="40"/>
      <c r="F171" s="14"/>
      <c r="G171" s="266" t="str">
        <f>IF(VLOOKUP(A171,'High Risk Non-Compliant'!B1:K1685,$H$48,FALSE)=0,"N/A",VLOOKUP(A171,'High Risk Non-Compliant'!B1:K1685,$H$48,FALSE))</f>
        <v>#N/A</v>
      </c>
      <c r="H171" s="266" t="str">
        <f>IF(G171="N/A","N/A",VLOOKUP(G171,'Crosswalk Detail'!A1:B958,2,FALSE))</f>
        <v>#N/A</v>
      </c>
      <c r="I171" s="6"/>
      <c r="J171" s="6"/>
      <c r="K171" s="6"/>
      <c r="L171" s="6"/>
      <c r="M171" s="6"/>
      <c r="N171" s="6"/>
      <c r="O171" s="6"/>
      <c r="P171" s="6"/>
      <c r="Q171" s="6"/>
      <c r="R171" s="6"/>
      <c r="S171" s="6"/>
      <c r="T171" s="6"/>
      <c r="U171" s="6"/>
      <c r="V171" s="6"/>
      <c r="W171" s="6"/>
      <c r="X171" s="6"/>
      <c r="Y171" s="6"/>
      <c r="Z171" s="6"/>
    </row>
    <row r="172" ht="144.0" customHeight="1">
      <c r="A172" s="271" t="str">
        <f>'High Risk Non-Compliant'!B128</f>
        <v/>
      </c>
      <c r="B172" s="272" t="str">
        <f>'High Risk Non-Compliant'!C128</f>
        <v/>
      </c>
      <c r="C172" s="14"/>
      <c r="D172" s="269" t="str">
        <f>'High Risk Non-Compliant'!D128</f>
        <v/>
      </c>
      <c r="E172" s="40"/>
      <c r="F172" s="14"/>
      <c r="G172" s="266" t="str">
        <f>IF(VLOOKUP(A172,'High Risk Non-Compliant'!B1:K1685,$H$48,FALSE)=0,"N/A",VLOOKUP(A172,'High Risk Non-Compliant'!B1:K1685,$H$48,FALSE))</f>
        <v>#N/A</v>
      </c>
      <c r="H172" s="266" t="str">
        <f>IF(G172="N/A","N/A",VLOOKUP(G172,'Crosswalk Detail'!A1:B958,2,FALSE))</f>
        <v>#N/A</v>
      </c>
      <c r="I172" s="6"/>
      <c r="J172" s="6"/>
      <c r="K172" s="6"/>
      <c r="L172" s="6"/>
      <c r="M172" s="6"/>
      <c r="N172" s="6"/>
      <c r="O172" s="6"/>
      <c r="P172" s="6"/>
      <c r="Q172" s="6"/>
      <c r="R172" s="6"/>
      <c r="S172" s="6"/>
      <c r="T172" s="6"/>
      <c r="U172" s="6"/>
      <c r="V172" s="6"/>
      <c r="W172" s="6"/>
      <c r="X172" s="6"/>
      <c r="Y172" s="6"/>
      <c r="Z172" s="6"/>
    </row>
    <row r="173" ht="144.0" customHeight="1">
      <c r="A173" s="271" t="str">
        <f>'High Risk Non-Compliant'!B129</f>
        <v/>
      </c>
      <c r="B173" s="272" t="str">
        <f>'High Risk Non-Compliant'!C129</f>
        <v/>
      </c>
      <c r="C173" s="14"/>
      <c r="D173" s="269" t="str">
        <f>'High Risk Non-Compliant'!D129</f>
        <v/>
      </c>
      <c r="E173" s="40"/>
      <c r="F173" s="14"/>
      <c r="G173" s="266" t="str">
        <f>IF(VLOOKUP(A173,'High Risk Non-Compliant'!B1:K1685,$H$48,FALSE)=0,"N/A",VLOOKUP(A173,'High Risk Non-Compliant'!B1:K1685,$H$48,FALSE))</f>
        <v>#N/A</v>
      </c>
      <c r="H173" s="266" t="str">
        <f>IF(G173="N/A","N/A",VLOOKUP(G173,'Crosswalk Detail'!A1:B958,2,FALSE))</f>
        <v>#N/A</v>
      </c>
      <c r="I173" s="6"/>
      <c r="J173" s="6"/>
      <c r="K173" s="6"/>
      <c r="L173" s="6"/>
      <c r="M173" s="6"/>
      <c r="N173" s="6"/>
      <c r="O173" s="6"/>
      <c r="P173" s="6"/>
      <c r="Q173" s="6"/>
      <c r="R173" s="6"/>
      <c r="S173" s="6"/>
      <c r="T173" s="6"/>
      <c r="U173" s="6"/>
      <c r="V173" s="6"/>
      <c r="W173" s="6"/>
      <c r="X173" s="6"/>
      <c r="Y173" s="6"/>
      <c r="Z173" s="6"/>
    </row>
    <row r="174" ht="144.0" customHeight="1">
      <c r="A174" s="271" t="str">
        <f>'High Risk Non-Compliant'!B130</f>
        <v/>
      </c>
      <c r="B174" s="272" t="str">
        <f>'High Risk Non-Compliant'!C130</f>
        <v/>
      </c>
      <c r="C174" s="14"/>
      <c r="D174" s="269" t="str">
        <f>'High Risk Non-Compliant'!D130</f>
        <v/>
      </c>
      <c r="E174" s="40"/>
      <c r="F174" s="14"/>
      <c r="G174" s="266" t="str">
        <f>IF(VLOOKUP(A174,'High Risk Non-Compliant'!B1:K1685,$H$48,FALSE)=0,"N/A",VLOOKUP(A174,'High Risk Non-Compliant'!B1:K1685,$H$48,FALSE))</f>
        <v>#N/A</v>
      </c>
      <c r="H174" s="266" t="str">
        <f>IF(G174="N/A","N/A",VLOOKUP(G174,'Crosswalk Detail'!A1:B958,2,FALSE))</f>
        <v>#N/A</v>
      </c>
      <c r="I174" s="6"/>
      <c r="J174" s="6"/>
      <c r="K174" s="6"/>
      <c r="L174" s="6"/>
      <c r="M174" s="6"/>
      <c r="N174" s="6"/>
      <c r="O174" s="6"/>
      <c r="P174" s="6"/>
      <c r="Q174" s="6"/>
      <c r="R174" s="6"/>
      <c r="S174" s="6"/>
      <c r="T174" s="6"/>
      <c r="U174" s="6"/>
      <c r="V174" s="6"/>
      <c r="W174" s="6"/>
      <c r="X174" s="6"/>
      <c r="Y174" s="6"/>
      <c r="Z174" s="6"/>
    </row>
    <row r="175" ht="144.0" customHeight="1">
      <c r="A175" s="271" t="str">
        <f>'High Risk Non-Compliant'!B131</f>
        <v/>
      </c>
      <c r="B175" s="272" t="str">
        <f>'High Risk Non-Compliant'!C131</f>
        <v/>
      </c>
      <c r="C175" s="14"/>
      <c r="D175" s="269" t="str">
        <f>'High Risk Non-Compliant'!D131</f>
        <v/>
      </c>
      <c r="E175" s="40"/>
      <c r="F175" s="14"/>
      <c r="G175" s="266" t="str">
        <f>IF(VLOOKUP(A175,'High Risk Non-Compliant'!B1:K1685,$H$48,FALSE)=0,"N/A",VLOOKUP(A175,'High Risk Non-Compliant'!B1:K1685,$H$48,FALSE))</f>
        <v>#N/A</v>
      </c>
      <c r="H175" s="266" t="str">
        <f>IF(G175="N/A","N/A",VLOOKUP(G175,'Crosswalk Detail'!A1:B958,2,FALSE))</f>
        <v>#N/A</v>
      </c>
      <c r="I175" s="6"/>
      <c r="J175" s="6"/>
      <c r="K175" s="6"/>
      <c r="L175" s="6"/>
      <c r="M175" s="6"/>
      <c r="N175" s="6"/>
      <c r="O175" s="6"/>
      <c r="P175" s="6"/>
      <c r="Q175" s="6"/>
      <c r="R175" s="6"/>
      <c r="S175" s="6"/>
      <c r="T175" s="6"/>
      <c r="U175" s="6"/>
      <c r="V175" s="6"/>
      <c r="W175" s="6"/>
      <c r="X175" s="6"/>
      <c r="Y175" s="6"/>
      <c r="Z175" s="6"/>
    </row>
    <row r="176" ht="144.0" customHeight="1">
      <c r="A176" s="271" t="str">
        <f>'High Risk Non-Compliant'!B132</f>
        <v/>
      </c>
      <c r="B176" s="272" t="str">
        <f>'High Risk Non-Compliant'!C132</f>
        <v/>
      </c>
      <c r="C176" s="14"/>
      <c r="D176" s="269" t="str">
        <f>'High Risk Non-Compliant'!D132</f>
        <v/>
      </c>
      <c r="E176" s="40"/>
      <c r="F176" s="14"/>
      <c r="G176" s="266" t="str">
        <f>IF(VLOOKUP(A176,'High Risk Non-Compliant'!B1:K1685,$H$48,FALSE)=0,"N/A",VLOOKUP(A176,'High Risk Non-Compliant'!B1:K1685,$H$48,FALSE))</f>
        <v>#N/A</v>
      </c>
      <c r="H176" s="266" t="str">
        <f>IF(G176="N/A","N/A",VLOOKUP(G176,'Crosswalk Detail'!A1:B958,2,FALSE))</f>
        <v>#N/A</v>
      </c>
      <c r="I176" s="6"/>
      <c r="J176" s="6"/>
      <c r="K176" s="6"/>
      <c r="L176" s="6"/>
      <c r="M176" s="6"/>
      <c r="N176" s="6"/>
      <c r="O176" s="6"/>
      <c r="P176" s="6"/>
      <c r="Q176" s="6"/>
      <c r="R176" s="6"/>
      <c r="S176" s="6"/>
      <c r="T176" s="6"/>
      <c r="U176" s="6"/>
      <c r="V176" s="6"/>
      <c r="W176" s="6"/>
      <c r="X176" s="6"/>
      <c r="Y176" s="6"/>
      <c r="Z176" s="6"/>
    </row>
    <row r="177" ht="144.0" customHeight="1">
      <c r="A177" s="271" t="str">
        <f>'High Risk Non-Compliant'!B133</f>
        <v/>
      </c>
      <c r="B177" s="272" t="str">
        <f>'High Risk Non-Compliant'!C133</f>
        <v/>
      </c>
      <c r="C177" s="14"/>
      <c r="D177" s="269" t="str">
        <f>'High Risk Non-Compliant'!D133</f>
        <v/>
      </c>
      <c r="E177" s="40"/>
      <c r="F177" s="14"/>
      <c r="G177" s="266" t="str">
        <f>IF(VLOOKUP(A177,'High Risk Non-Compliant'!B1:K1685,$H$48,FALSE)=0,"N/A",VLOOKUP(A177,'High Risk Non-Compliant'!B1:K1685,$H$48,FALSE))</f>
        <v>#N/A</v>
      </c>
      <c r="H177" s="266" t="str">
        <f>IF(G177="N/A","N/A",VLOOKUP(G177,'Crosswalk Detail'!A1:B958,2,FALSE))</f>
        <v>#N/A</v>
      </c>
      <c r="I177" s="6"/>
      <c r="J177" s="6"/>
      <c r="K177" s="6"/>
      <c r="L177" s="6"/>
      <c r="M177" s="6"/>
      <c r="N177" s="6"/>
      <c r="O177" s="6"/>
      <c r="P177" s="6"/>
      <c r="Q177" s="6"/>
      <c r="R177" s="6"/>
      <c r="S177" s="6"/>
      <c r="T177" s="6"/>
      <c r="U177" s="6"/>
      <c r="V177" s="6"/>
      <c r="W177" s="6"/>
      <c r="X177" s="6"/>
      <c r="Y177" s="6"/>
      <c r="Z177" s="6"/>
    </row>
    <row r="178" ht="144.0" customHeight="1">
      <c r="A178" s="271" t="str">
        <f>'High Risk Non-Compliant'!B134</f>
        <v/>
      </c>
      <c r="B178" s="272" t="str">
        <f>'High Risk Non-Compliant'!C134</f>
        <v/>
      </c>
      <c r="C178" s="14"/>
      <c r="D178" s="269" t="str">
        <f>'High Risk Non-Compliant'!D134</f>
        <v/>
      </c>
      <c r="E178" s="40"/>
      <c r="F178" s="14"/>
      <c r="G178" s="266" t="str">
        <f>IF(VLOOKUP(A178,'High Risk Non-Compliant'!B1:K1685,$H$48,FALSE)=0,"N/A",VLOOKUP(A178,'High Risk Non-Compliant'!B1:K1685,$H$48,FALSE))</f>
        <v>#N/A</v>
      </c>
      <c r="H178" s="266" t="str">
        <f>IF(G178="N/A","N/A",VLOOKUP(G178,'Crosswalk Detail'!A1:B958,2,FALSE))</f>
        <v>#N/A</v>
      </c>
      <c r="I178" s="6"/>
      <c r="J178" s="6"/>
      <c r="K178" s="6"/>
      <c r="L178" s="6"/>
      <c r="M178" s="6"/>
      <c r="N178" s="6"/>
      <c r="O178" s="6"/>
      <c r="P178" s="6"/>
      <c r="Q178" s="6"/>
      <c r="R178" s="6"/>
      <c r="S178" s="6"/>
      <c r="T178" s="6"/>
      <c r="U178" s="6"/>
      <c r="V178" s="6"/>
      <c r="W178" s="6"/>
      <c r="X178" s="6"/>
      <c r="Y178" s="6"/>
      <c r="Z178" s="6"/>
    </row>
    <row r="179" ht="144.0" customHeight="1">
      <c r="A179" s="271" t="str">
        <f>'High Risk Non-Compliant'!B135</f>
        <v/>
      </c>
      <c r="B179" s="272" t="str">
        <f>'High Risk Non-Compliant'!C135</f>
        <v/>
      </c>
      <c r="C179" s="14"/>
      <c r="D179" s="269" t="str">
        <f>'High Risk Non-Compliant'!D135</f>
        <v/>
      </c>
      <c r="E179" s="40"/>
      <c r="F179" s="14"/>
      <c r="G179" s="266" t="str">
        <f>IF(VLOOKUP(A179,'High Risk Non-Compliant'!B1:K1685,$H$48,FALSE)=0,"N/A",VLOOKUP(A179,'High Risk Non-Compliant'!B1:K1685,$H$48,FALSE))</f>
        <v>#N/A</v>
      </c>
      <c r="H179" s="266" t="str">
        <f>IF(G179="N/A","N/A",VLOOKUP(G179,'Crosswalk Detail'!A1:B958,2,FALSE))</f>
        <v>#N/A</v>
      </c>
      <c r="I179" s="6"/>
      <c r="J179" s="6"/>
      <c r="K179" s="6"/>
      <c r="L179" s="6"/>
      <c r="M179" s="6"/>
      <c r="N179" s="6"/>
      <c r="O179" s="6"/>
      <c r="P179" s="6"/>
      <c r="Q179" s="6"/>
      <c r="R179" s="6"/>
      <c r="S179" s="6"/>
      <c r="T179" s="6"/>
      <c r="U179" s="6"/>
      <c r="V179" s="6"/>
      <c r="W179" s="6"/>
      <c r="X179" s="6"/>
      <c r="Y179" s="6"/>
      <c r="Z179" s="6"/>
    </row>
    <row r="180" ht="144.0" customHeight="1">
      <c r="A180" s="271" t="str">
        <f>'High Risk Non-Compliant'!B136</f>
        <v/>
      </c>
      <c r="B180" s="272" t="str">
        <f>'High Risk Non-Compliant'!C136</f>
        <v/>
      </c>
      <c r="C180" s="14"/>
      <c r="D180" s="269" t="str">
        <f>'High Risk Non-Compliant'!D136</f>
        <v/>
      </c>
      <c r="E180" s="40"/>
      <c r="F180" s="14"/>
      <c r="G180" s="266" t="str">
        <f>IF(VLOOKUP(A180,'High Risk Non-Compliant'!B1:K1685,$H$48,FALSE)=0,"N/A",VLOOKUP(A180,'High Risk Non-Compliant'!B1:K1685,$H$48,FALSE))</f>
        <v>#N/A</v>
      </c>
      <c r="H180" s="266" t="str">
        <f>IF(G180="N/A","N/A",VLOOKUP(G180,'Crosswalk Detail'!A1:B958,2,FALSE))</f>
        <v>#N/A</v>
      </c>
      <c r="I180" s="6"/>
      <c r="J180" s="6"/>
      <c r="K180" s="6"/>
      <c r="L180" s="6"/>
      <c r="M180" s="6"/>
      <c r="N180" s="6"/>
      <c r="O180" s="6"/>
      <c r="P180" s="6"/>
      <c r="Q180" s="6"/>
      <c r="R180" s="6"/>
      <c r="S180" s="6"/>
      <c r="T180" s="6"/>
      <c r="U180" s="6"/>
      <c r="V180" s="6"/>
      <c r="W180" s="6"/>
      <c r="X180" s="6"/>
      <c r="Y180" s="6"/>
      <c r="Z180" s="6"/>
    </row>
    <row r="181" ht="144.0" customHeight="1">
      <c r="A181" s="271" t="str">
        <f>'High Risk Non-Compliant'!B137</f>
        <v/>
      </c>
      <c r="B181" s="272" t="str">
        <f>'High Risk Non-Compliant'!C137</f>
        <v/>
      </c>
      <c r="C181" s="14"/>
      <c r="D181" s="269" t="str">
        <f>'High Risk Non-Compliant'!D137</f>
        <v/>
      </c>
      <c r="E181" s="40"/>
      <c r="F181" s="14"/>
      <c r="G181" s="266" t="str">
        <f>IF(VLOOKUP(A181,'High Risk Non-Compliant'!B1:K1685,$H$48,FALSE)=0,"N/A",VLOOKUP(A181,'High Risk Non-Compliant'!B1:K1685,$H$48,FALSE))</f>
        <v>#N/A</v>
      </c>
      <c r="H181" s="266" t="str">
        <f>IF(G181="N/A","N/A",VLOOKUP(G181,'Crosswalk Detail'!A1:B958,2,FALSE))</f>
        <v>#N/A</v>
      </c>
      <c r="I181" s="6"/>
      <c r="J181" s="6"/>
      <c r="K181" s="6"/>
      <c r="L181" s="6"/>
      <c r="M181" s="6"/>
      <c r="N181" s="6"/>
      <c r="O181" s="6"/>
      <c r="P181" s="6"/>
      <c r="Q181" s="6"/>
      <c r="R181" s="6"/>
      <c r="S181" s="6"/>
      <c r="T181" s="6"/>
      <c r="U181" s="6"/>
      <c r="V181" s="6"/>
      <c r="W181" s="6"/>
      <c r="X181" s="6"/>
      <c r="Y181" s="6"/>
      <c r="Z181" s="6"/>
    </row>
    <row r="182" ht="144.0" customHeight="1">
      <c r="A182" s="271" t="str">
        <f>'High Risk Non-Compliant'!B138</f>
        <v/>
      </c>
      <c r="B182" s="272" t="str">
        <f>'High Risk Non-Compliant'!C138</f>
        <v/>
      </c>
      <c r="C182" s="14"/>
      <c r="D182" s="269" t="str">
        <f>'High Risk Non-Compliant'!D138</f>
        <v/>
      </c>
      <c r="E182" s="40"/>
      <c r="F182" s="14"/>
      <c r="G182" s="266" t="str">
        <f>IF(VLOOKUP(A182,'High Risk Non-Compliant'!B1:K1685,$H$48,FALSE)=0,"N/A",VLOOKUP(A182,'High Risk Non-Compliant'!B1:K1685,$H$48,FALSE))</f>
        <v>#N/A</v>
      </c>
      <c r="H182" s="266" t="str">
        <f>IF(G182="N/A","N/A",VLOOKUP(G182,'Crosswalk Detail'!A1:B958,2,FALSE))</f>
        <v>#N/A</v>
      </c>
      <c r="I182" s="6"/>
      <c r="J182" s="6"/>
      <c r="K182" s="6"/>
      <c r="L182" s="6"/>
      <c r="M182" s="6"/>
      <c r="N182" s="6"/>
      <c r="O182" s="6"/>
      <c r="P182" s="6"/>
      <c r="Q182" s="6"/>
      <c r="R182" s="6"/>
      <c r="S182" s="6"/>
      <c r="T182" s="6"/>
      <c r="U182" s="6"/>
      <c r="V182" s="6"/>
      <c r="W182" s="6"/>
      <c r="X182" s="6"/>
      <c r="Y182" s="6"/>
      <c r="Z182" s="6"/>
    </row>
    <row r="183" ht="144.0" customHeight="1">
      <c r="A183" s="271" t="str">
        <f>'High Risk Non-Compliant'!B139</f>
        <v/>
      </c>
      <c r="B183" s="272" t="str">
        <f>'High Risk Non-Compliant'!C139</f>
        <v/>
      </c>
      <c r="C183" s="14"/>
      <c r="D183" s="269" t="str">
        <f>'High Risk Non-Compliant'!D139</f>
        <v/>
      </c>
      <c r="E183" s="40"/>
      <c r="F183" s="14"/>
      <c r="G183" s="266" t="str">
        <f>IF(VLOOKUP(A183,'High Risk Non-Compliant'!B1:K1685,$H$48,FALSE)=0,"N/A",VLOOKUP(A183,'High Risk Non-Compliant'!B1:K1685,$H$48,FALSE))</f>
        <v>#N/A</v>
      </c>
      <c r="H183" s="266" t="str">
        <f>IF(G183="N/A","N/A",VLOOKUP(G183,'Crosswalk Detail'!A1:B958,2,FALSE))</f>
        <v>#N/A</v>
      </c>
      <c r="I183" s="6"/>
      <c r="J183" s="6"/>
      <c r="K183" s="6"/>
      <c r="L183" s="6"/>
      <c r="M183" s="6"/>
      <c r="N183" s="6"/>
      <c r="O183" s="6"/>
      <c r="P183" s="6"/>
      <c r="Q183" s="6"/>
      <c r="R183" s="6"/>
      <c r="S183" s="6"/>
      <c r="T183" s="6"/>
      <c r="U183" s="6"/>
      <c r="V183" s="6"/>
      <c r="W183" s="6"/>
      <c r="X183" s="6"/>
      <c r="Y183" s="6"/>
      <c r="Z183" s="6"/>
    </row>
    <row r="184" ht="144.0" customHeight="1">
      <c r="A184" s="271" t="str">
        <f>'High Risk Non-Compliant'!B140</f>
        <v/>
      </c>
      <c r="B184" s="272" t="str">
        <f>'High Risk Non-Compliant'!C140</f>
        <v/>
      </c>
      <c r="C184" s="14"/>
      <c r="D184" s="269" t="str">
        <f>'High Risk Non-Compliant'!D140</f>
        <v/>
      </c>
      <c r="E184" s="40"/>
      <c r="F184" s="14"/>
      <c r="G184" s="266" t="str">
        <f>IF(VLOOKUP(A184,'High Risk Non-Compliant'!B1:K1685,$H$48,FALSE)=0,"N/A",VLOOKUP(A184,'High Risk Non-Compliant'!B1:K1685,$H$48,FALSE))</f>
        <v>#N/A</v>
      </c>
      <c r="H184" s="266" t="str">
        <f>IF(G184="N/A","N/A",VLOOKUP(G184,'Crosswalk Detail'!A1:B958,2,FALSE))</f>
        <v>#N/A</v>
      </c>
      <c r="I184" s="6"/>
      <c r="J184" s="6"/>
      <c r="K184" s="6"/>
      <c r="L184" s="6"/>
      <c r="M184" s="6"/>
      <c r="N184" s="6"/>
      <c r="O184" s="6"/>
      <c r="P184" s="6"/>
      <c r="Q184" s="6"/>
      <c r="R184" s="6"/>
      <c r="S184" s="6"/>
      <c r="T184" s="6"/>
      <c r="U184" s="6"/>
      <c r="V184" s="6"/>
      <c r="W184" s="6"/>
      <c r="X184" s="6"/>
      <c r="Y184" s="6"/>
      <c r="Z184" s="6"/>
    </row>
    <row r="185" ht="144.0" customHeight="1">
      <c r="A185" s="271" t="str">
        <f>'High Risk Non-Compliant'!B141</f>
        <v/>
      </c>
      <c r="B185" s="272" t="str">
        <f>'High Risk Non-Compliant'!C141</f>
        <v/>
      </c>
      <c r="C185" s="14"/>
      <c r="D185" s="269" t="str">
        <f>'High Risk Non-Compliant'!D141</f>
        <v/>
      </c>
      <c r="E185" s="40"/>
      <c r="F185" s="14"/>
      <c r="G185" s="266" t="str">
        <f>IF(VLOOKUP(A185,'High Risk Non-Compliant'!B1:K1685,$H$48,FALSE)=0,"N/A",VLOOKUP(A185,'High Risk Non-Compliant'!B1:K1685,$H$48,FALSE))</f>
        <v>#N/A</v>
      </c>
      <c r="H185" s="266" t="str">
        <f>IF(G185="N/A","N/A",VLOOKUP(G185,'Crosswalk Detail'!A1:B958,2,FALSE))</f>
        <v>#N/A</v>
      </c>
      <c r="I185" s="6"/>
      <c r="J185" s="6"/>
      <c r="K185" s="6"/>
      <c r="L185" s="6"/>
      <c r="M185" s="6"/>
      <c r="N185" s="6"/>
      <c r="O185" s="6"/>
      <c r="P185" s="6"/>
      <c r="Q185" s="6"/>
      <c r="R185" s="6"/>
      <c r="S185" s="6"/>
      <c r="T185" s="6"/>
      <c r="U185" s="6"/>
      <c r="V185" s="6"/>
      <c r="W185" s="6"/>
      <c r="X185" s="6"/>
      <c r="Y185" s="6"/>
      <c r="Z185" s="6"/>
    </row>
    <row r="186" ht="144.0" customHeight="1">
      <c r="A186" s="271" t="str">
        <f>'High Risk Non-Compliant'!B142</f>
        <v/>
      </c>
      <c r="B186" s="272" t="str">
        <f>'High Risk Non-Compliant'!C142</f>
        <v/>
      </c>
      <c r="C186" s="14"/>
      <c r="D186" s="269" t="str">
        <f>'High Risk Non-Compliant'!D142</f>
        <v/>
      </c>
      <c r="E186" s="40"/>
      <c r="F186" s="14"/>
      <c r="G186" s="266" t="str">
        <f>IF(VLOOKUP(A186,'High Risk Non-Compliant'!B1:K1685,$H$48,FALSE)=0,"N/A",VLOOKUP(A186,'High Risk Non-Compliant'!B1:K1685,$H$48,FALSE))</f>
        <v>#N/A</v>
      </c>
      <c r="H186" s="266" t="str">
        <f>IF(G186="N/A","N/A",VLOOKUP(G186,'Crosswalk Detail'!A1:B958,2,FALSE))</f>
        <v>#N/A</v>
      </c>
      <c r="I186" s="6"/>
      <c r="J186" s="6"/>
      <c r="K186" s="6"/>
      <c r="L186" s="6"/>
      <c r="M186" s="6"/>
      <c r="N186" s="6"/>
      <c r="O186" s="6"/>
      <c r="P186" s="6"/>
      <c r="Q186" s="6"/>
      <c r="R186" s="6"/>
      <c r="S186" s="6"/>
      <c r="T186" s="6"/>
      <c r="U186" s="6"/>
      <c r="V186" s="6"/>
      <c r="W186" s="6"/>
      <c r="X186" s="6"/>
      <c r="Y186" s="6"/>
      <c r="Z186" s="6"/>
    </row>
    <row r="187" ht="144.0" customHeight="1">
      <c r="A187" s="271" t="str">
        <f>'High Risk Non-Compliant'!B143</f>
        <v/>
      </c>
      <c r="B187" s="272" t="str">
        <f>'High Risk Non-Compliant'!C143</f>
        <v/>
      </c>
      <c r="C187" s="14"/>
      <c r="D187" s="269" t="str">
        <f>'High Risk Non-Compliant'!D143</f>
        <v/>
      </c>
      <c r="E187" s="40"/>
      <c r="F187" s="14"/>
      <c r="G187" s="266" t="str">
        <f>IF(VLOOKUP(A187,'High Risk Non-Compliant'!B1:K1685,$H$48,FALSE)=0,"N/A",VLOOKUP(A187,'High Risk Non-Compliant'!B1:K1685,$H$48,FALSE))</f>
        <v>#N/A</v>
      </c>
      <c r="H187" s="266" t="str">
        <f>IF(G187="N/A","N/A",VLOOKUP(G187,'Crosswalk Detail'!A1:B958,2,FALSE))</f>
        <v>#N/A</v>
      </c>
      <c r="I187" s="6"/>
      <c r="J187" s="6"/>
      <c r="K187" s="6"/>
      <c r="L187" s="6"/>
      <c r="M187" s="6"/>
      <c r="N187" s="6"/>
      <c r="O187" s="6"/>
      <c r="P187" s="6"/>
      <c r="Q187" s="6"/>
      <c r="R187" s="6"/>
      <c r="S187" s="6"/>
      <c r="T187" s="6"/>
      <c r="U187" s="6"/>
      <c r="V187" s="6"/>
      <c r="W187" s="6"/>
      <c r="X187" s="6"/>
      <c r="Y187" s="6"/>
      <c r="Z187" s="6"/>
    </row>
    <row r="188" ht="144.0" customHeight="1">
      <c r="A188" s="271" t="str">
        <f>'High Risk Non-Compliant'!B144</f>
        <v/>
      </c>
      <c r="B188" s="272" t="str">
        <f>'High Risk Non-Compliant'!C144</f>
        <v/>
      </c>
      <c r="C188" s="14"/>
      <c r="D188" s="269" t="str">
        <f>'High Risk Non-Compliant'!D144</f>
        <v/>
      </c>
      <c r="E188" s="40"/>
      <c r="F188" s="14"/>
      <c r="G188" s="266" t="str">
        <f>IF(VLOOKUP(A188,'High Risk Non-Compliant'!B1:K1685,$H$48,FALSE)=0,"N/A",VLOOKUP(A188,'High Risk Non-Compliant'!B1:K1685,$H$48,FALSE))</f>
        <v>#N/A</v>
      </c>
      <c r="H188" s="266" t="str">
        <f>IF(G188="N/A","N/A",VLOOKUP(G188,'Crosswalk Detail'!A1:B958,2,FALSE))</f>
        <v>#N/A</v>
      </c>
      <c r="I188" s="6"/>
      <c r="J188" s="6"/>
      <c r="K188" s="6"/>
      <c r="L188" s="6"/>
      <c r="M188" s="6"/>
      <c r="N188" s="6"/>
      <c r="O188" s="6"/>
      <c r="P188" s="6"/>
      <c r="Q188" s="6"/>
      <c r="R188" s="6"/>
      <c r="S188" s="6"/>
      <c r="T188" s="6"/>
      <c r="U188" s="6"/>
      <c r="V188" s="6"/>
      <c r="W188" s="6"/>
      <c r="X188" s="6"/>
      <c r="Y188" s="6"/>
      <c r="Z188" s="6"/>
    </row>
    <row r="189" ht="144.0" customHeight="1">
      <c r="A189" s="271" t="str">
        <f>'High Risk Non-Compliant'!B145</f>
        <v/>
      </c>
      <c r="B189" s="272" t="str">
        <f>'High Risk Non-Compliant'!C145</f>
        <v/>
      </c>
      <c r="C189" s="14"/>
      <c r="D189" s="269" t="str">
        <f>'High Risk Non-Compliant'!D145</f>
        <v/>
      </c>
      <c r="E189" s="40"/>
      <c r="F189" s="14"/>
      <c r="G189" s="266" t="str">
        <f>IF(VLOOKUP(A189,'High Risk Non-Compliant'!B1:K1685,$H$48,FALSE)=0,"N/A",VLOOKUP(A189,'High Risk Non-Compliant'!B1:K1685,$H$48,FALSE))</f>
        <v>#N/A</v>
      </c>
      <c r="H189" s="266" t="str">
        <f>IF(G189="N/A","N/A",VLOOKUP(G189,'Crosswalk Detail'!A1:B958,2,FALSE))</f>
        <v>#N/A</v>
      </c>
      <c r="I189" s="6"/>
      <c r="J189" s="6"/>
      <c r="K189" s="6"/>
      <c r="L189" s="6"/>
      <c r="M189" s="6"/>
      <c r="N189" s="6"/>
      <c r="O189" s="6"/>
      <c r="P189" s="6"/>
      <c r="Q189" s="6"/>
      <c r="R189" s="6"/>
      <c r="S189" s="6"/>
      <c r="T189" s="6"/>
      <c r="U189" s="6"/>
      <c r="V189" s="6"/>
      <c r="W189" s="6"/>
      <c r="X189" s="6"/>
      <c r="Y189" s="6"/>
      <c r="Z189" s="6"/>
    </row>
    <row r="190" ht="144.0" customHeight="1">
      <c r="A190" s="271" t="str">
        <f>'High Risk Non-Compliant'!B146</f>
        <v/>
      </c>
      <c r="B190" s="272" t="str">
        <f>'High Risk Non-Compliant'!C146</f>
        <v/>
      </c>
      <c r="C190" s="14"/>
      <c r="D190" s="269" t="str">
        <f>'High Risk Non-Compliant'!D146</f>
        <v/>
      </c>
      <c r="E190" s="40"/>
      <c r="F190" s="14"/>
      <c r="G190" s="266" t="str">
        <f>IF(VLOOKUP(A190,'High Risk Non-Compliant'!B1:K1685,$H$48,FALSE)=0,"N/A",VLOOKUP(A190,'High Risk Non-Compliant'!B1:K1685,$H$48,FALSE))</f>
        <v>#N/A</v>
      </c>
      <c r="H190" s="266" t="str">
        <f>IF(G190="N/A","N/A",VLOOKUP(G190,'Crosswalk Detail'!A1:B958,2,FALSE))</f>
        <v>#N/A</v>
      </c>
      <c r="I190" s="6"/>
      <c r="J190" s="6"/>
      <c r="K190" s="6"/>
      <c r="L190" s="6"/>
      <c r="M190" s="6"/>
      <c r="N190" s="6"/>
      <c r="O190" s="6"/>
      <c r="P190" s="6"/>
      <c r="Q190" s="6"/>
      <c r="R190" s="6"/>
      <c r="S190" s="6"/>
      <c r="T190" s="6"/>
      <c r="U190" s="6"/>
      <c r="V190" s="6"/>
      <c r="W190" s="6"/>
      <c r="X190" s="6"/>
      <c r="Y190" s="6"/>
      <c r="Z190" s="6"/>
    </row>
    <row r="191" ht="144.0" customHeight="1">
      <c r="A191" s="271" t="str">
        <f>'High Risk Non-Compliant'!B147</f>
        <v/>
      </c>
      <c r="B191" s="272" t="str">
        <f>'High Risk Non-Compliant'!C147</f>
        <v/>
      </c>
      <c r="C191" s="14"/>
      <c r="D191" s="269" t="str">
        <f>'High Risk Non-Compliant'!D147</f>
        <v/>
      </c>
      <c r="E191" s="40"/>
      <c r="F191" s="14"/>
      <c r="G191" s="266" t="str">
        <f>IF(VLOOKUP(A191,'High Risk Non-Compliant'!B1:K1685,$H$48,FALSE)=0,"N/A",VLOOKUP(A191,'High Risk Non-Compliant'!B1:K1685,$H$48,FALSE))</f>
        <v>#N/A</v>
      </c>
      <c r="H191" s="266" t="str">
        <f>IF(G191="N/A","N/A",VLOOKUP(G191,'Crosswalk Detail'!A1:B958,2,FALSE))</f>
        <v>#N/A</v>
      </c>
      <c r="I191" s="6"/>
      <c r="J191" s="6"/>
      <c r="K191" s="6"/>
      <c r="L191" s="6"/>
      <c r="M191" s="6"/>
      <c r="N191" s="6"/>
      <c r="O191" s="6"/>
      <c r="P191" s="6"/>
      <c r="Q191" s="6"/>
      <c r="R191" s="6"/>
      <c r="S191" s="6"/>
      <c r="T191" s="6"/>
      <c r="U191" s="6"/>
      <c r="V191" s="6"/>
      <c r="W191" s="6"/>
      <c r="X191" s="6"/>
      <c r="Y191" s="6"/>
      <c r="Z191" s="6"/>
    </row>
    <row r="192" ht="144.0" customHeight="1">
      <c r="A192" s="271" t="str">
        <f>'High Risk Non-Compliant'!B148</f>
        <v/>
      </c>
      <c r="B192" s="272" t="str">
        <f>'High Risk Non-Compliant'!C148</f>
        <v/>
      </c>
      <c r="C192" s="14"/>
      <c r="D192" s="269" t="str">
        <f>'High Risk Non-Compliant'!D148</f>
        <v/>
      </c>
      <c r="E192" s="40"/>
      <c r="F192" s="14"/>
      <c r="G192" s="266" t="str">
        <f>IF(VLOOKUP(A192,'High Risk Non-Compliant'!B1:K1685,$H$48,FALSE)=0,"N/A",VLOOKUP(A192,'High Risk Non-Compliant'!B1:K1685,$H$48,FALSE))</f>
        <v>#N/A</v>
      </c>
      <c r="H192" s="266" t="str">
        <f>IF(G192="N/A","N/A",VLOOKUP(G192,'Crosswalk Detail'!A1:B958,2,FALSE))</f>
        <v>#N/A</v>
      </c>
      <c r="I192" s="6"/>
      <c r="J192" s="6"/>
      <c r="K192" s="6"/>
      <c r="L192" s="6"/>
      <c r="M192" s="6"/>
      <c r="N192" s="6"/>
      <c r="O192" s="6"/>
      <c r="P192" s="6"/>
      <c r="Q192" s="6"/>
      <c r="R192" s="6"/>
      <c r="S192" s="6"/>
      <c r="T192" s="6"/>
      <c r="U192" s="6"/>
      <c r="V192" s="6"/>
      <c r="W192" s="6"/>
      <c r="X192" s="6"/>
      <c r="Y192" s="6"/>
      <c r="Z192" s="6"/>
    </row>
    <row r="193" ht="144.0" customHeight="1">
      <c r="A193" s="271" t="str">
        <f>'High Risk Non-Compliant'!B149</f>
        <v/>
      </c>
      <c r="B193" s="272" t="str">
        <f>'High Risk Non-Compliant'!C149</f>
        <v/>
      </c>
      <c r="C193" s="14"/>
      <c r="D193" s="269" t="str">
        <f>'High Risk Non-Compliant'!D149</f>
        <v/>
      </c>
      <c r="E193" s="40"/>
      <c r="F193" s="14"/>
      <c r="G193" s="266" t="str">
        <f>IF(VLOOKUP(A193,'High Risk Non-Compliant'!B1:K1685,$H$48,FALSE)=0,"N/A",VLOOKUP(A193,'High Risk Non-Compliant'!B1:K1685,$H$48,FALSE))</f>
        <v>#N/A</v>
      </c>
      <c r="H193" s="266" t="str">
        <f>IF(G193="N/A","N/A",VLOOKUP(G193,'Crosswalk Detail'!A1:B958,2,FALSE))</f>
        <v>#N/A</v>
      </c>
      <c r="I193" s="6"/>
      <c r="J193" s="6"/>
      <c r="K193" s="6"/>
      <c r="L193" s="6"/>
      <c r="M193" s="6"/>
      <c r="N193" s="6"/>
      <c r="O193" s="6"/>
      <c r="P193" s="6"/>
      <c r="Q193" s="6"/>
      <c r="R193" s="6"/>
      <c r="S193" s="6"/>
      <c r="T193" s="6"/>
      <c r="U193" s="6"/>
      <c r="V193" s="6"/>
      <c r="W193" s="6"/>
      <c r="X193" s="6"/>
      <c r="Y193" s="6"/>
      <c r="Z193" s="6"/>
    </row>
    <row r="194" ht="144.0" customHeight="1">
      <c r="A194" s="271" t="str">
        <f>'High Risk Non-Compliant'!B150</f>
        <v/>
      </c>
      <c r="B194" s="272" t="str">
        <f>'High Risk Non-Compliant'!C150</f>
        <v/>
      </c>
      <c r="C194" s="14"/>
      <c r="D194" s="269" t="str">
        <f>'High Risk Non-Compliant'!D150</f>
        <v/>
      </c>
      <c r="E194" s="40"/>
      <c r="F194" s="14"/>
      <c r="G194" s="266" t="str">
        <f>IF(VLOOKUP(A194,'High Risk Non-Compliant'!B1:K1685,$H$48,FALSE)=0,"N/A",VLOOKUP(A194,'High Risk Non-Compliant'!B1:K1685,$H$48,FALSE))</f>
        <v>#N/A</v>
      </c>
      <c r="H194" s="266" t="str">
        <f>IF(G194="N/A","N/A",VLOOKUP(G194,'Crosswalk Detail'!A1:B958,2,FALSE))</f>
        <v>#N/A</v>
      </c>
      <c r="I194" s="6"/>
      <c r="J194" s="6"/>
      <c r="K194" s="6"/>
      <c r="L194" s="6"/>
      <c r="M194" s="6"/>
      <c r="N194" s="6"/>
      <c r="O194" s="6"/>
      <c r="P194" s="6"/>
      <c r="Q194" s="6"/>
      <c r="R194" s="6"/>
      <c r="S194" s="6"/>
      <c r="T194" s="6"/>
      <c r="U194" s="6"/>
      <c r="V194" s="6"/>
      <c r="W194" s="6"/>
      <c r="X194" s="6"/>
      <c r="Y194" s="6"/>
      <c r="Z194" s="6"/>
    </row>
    <row r="195" ht="144.0" customHeight="1">
      <c r="A195" s="271" t="str">
        <f>'High Risk Non-Compliant'!B151</f>
        <v/>
      </c>
      <c r="B195" s="272" t="str">
        <f>'High Risk Non-Compliant'!C151</f>
        <v/>
      </c>
      <c r="C195" s="14"/>
      <c r="D195" s="269" t="str">
        <f>'High Risk Non-Compliant'!D151</f>
        <v/>
      </c>
      <c r="E195" s="40"/>
      <c r="F195" s="14"/>
      <c r="G195" s="266" t="str">
        <f>IF(VLOOKUP(A195,'High Risk Non-Compliant'!B1:K1685,$H$48,FALSE)=0,"N/A",VLOOKUP(A195,'High Risk Non-Compliant'!B1:K1685,$H$48,FALSE))</f>
        <v>#N/A</v>
      </c>
      <c r="H195" s="266" t="str">
        <f>IF(G195="N/A","N/A",VLOOKUP(G195,'Crosswalk Detail'!A1:B958,2,FALSE))</f>
        <v>#N/A</v>
      </c>
      <c r="I195" s="6"/>
      <c r="J195" s="6"/>
      <c r="K195" s="6"/>
      <c r="L195" s="6"/>
      <c r="M195" s="6"/>
      <c r="N195" s="6"/>
      <c r="O195" s="6"/>
      <c r="P195" s="6"/>
      <c r="Q195" s="6"/>
      <c r="R195" s="6"/>
      <c r="S195" s="6"/>
      <c r="T195" s="6"/>
      <c r="U195" s="6"/>
      <c r="V195" s="6"/>
      <c r="W195" s="6"/>
      <c r="X195" s="6"/>
      <c r="Y195" s="6"/>
      <c r="Z195" s="6"/>
    </row>
    <row r="196" ht="144.0" customHeight="1">
      <c r="A196" s="271" t="str">
        <f>'High Risk Non-Compliant'!B152</f>
        <v/>
      </c>
      <c r="B196" s="272" t="str">
        <f>'High Risk Non-Compliant'!C152</f>
        <v/>
      </c>
      <c r="C196" s="14"/>
      <c r="D196" s="269" t="str">
        <f>'High Risk Non-Compliant'!D152</f>
        <v/>
      </c>
      <c r="E196" s="40"/>
      <c r="F196" s="14"/>
      <c r="G196" s="266" t="str">
        <f>IF(VLOOKUP(A196,'High Risk Non-Compliant'!B1:K1685,$H$48,FALSE)=0,"N/A",VLOOKUP(A196,'High Risk Non-Compliant'!B1:K1685,$H$48,FALSE))</f>
        <v>#N/A</v>
      </c>
      <c r="H196" s="266" t="str">
        <f>IF(G196="N/A","N/A",VLOOKUP(G196,'Crosswalk Detail'!A1:B958,2,FALSE))</f>
        <v>#N/A</v>
      </c>
      <c r="I196" s="6"/>
      <c r="J196" s="6"/>
      <c r="K196" s="6"/>
      <c r="L196" s="6"/>
      <c r="M196" s="6"/>
      <c r="N196" s="6"/>
      <c r="O196" s="6"/>
      <c r="P196" s="6"/>
      <c r="Q196" s="6"/>
      <c r="R196" s="6"/>
      <c r="S196" s="6"/>
      <c r="T196" s="6"/>
      <c r="U196" s="6"/>
      <c r="V196" s="6"/>
      <c r="W196" s="6"/>
      <c r="X196" s="6"/>
      <c r="Y196" s="6"/>
      <c r="Z196" s="6"/>
    </row>
    <row r="197" ht="144.0" customHeight="1">
      <c r="A197" s="271" t="str">
        <f>'High Risk Non-Compliant'!B153</f>
        <v/>
      </c>
      <c r="B197" s="272" t="str">
        <f>'High Risk Non-Compliant'!C153</f>
        <v/>
      </c>
      <c r="C197" s="14"/>
      <c r="D197" s="269" t="str">
        <f>'High Risk Non-Compliant'!D153</f>
        <v/>
      </c>
      <c r="E197" s="40"/>
      <c r="F197" s="14"/>
      <c r="G197" s="266" t="str">
        <f>IF(VLOOKUP(A197,'High Risk Non-Compliant'!B1:K1685,$H$48,FALSE)=0,"N/A",VLOOKUP(A197,'High Risk Non-Compliant'!B1:K1685,$H$48,FALSE))</f>
        <v>#N/A</v>
      </c>
      <c r="H197" s="266" t="str">
        <f>IF(G197="N/A","N/A",VLOOKUP(G197,'Crosswalk Detail'!A1:B958,2,FALSE))</f>
        <v>#N/A</v>
      </c>
      <c r="I197" s="6"/>
      <c r="J197" s="6"/>
      <c r="K197" s="6"/>
      <c r="L197" s="6"/>
      <c r="M197" s="6"/>
      <c r="N197" s="6"/>
      <c r="O197" s="6"/>
      <c r="P197" s="6"/>
      <c r="Q197" s="6"/>
      <c r="R197" s="6"/>
      <c r="S197" s="6"/>
      <c r="T197" s="6"/>
      <c r="U197" s="6"/>
      <c r="V197" s="6"/>
      <c r="W197" s="6"/>
      <c r="X197" s="6"/>
      <c r="Y197" s="6"/>
      <c r="Z197" s="6"/>
    </row>
    <row r="198" ht="144.0" customHeight="1">
      <c r="A198" s="271" t="str">
        <f>'High Risk Non-Compliant'!B154</f>
        <v/>
      </c>
      <c r="B198" s="272" t="str">
        <f>'High Risk Non-Compliant'!C154</f>
        <v/>
      </c>
      <c r="C198" s="14"/>
      <c r="D198" s="269" t="str">
        <f>'High Risk Non-Compliant'!D154</f>
        <v/>
      </c>
      <c r="E198" s="40"/>
      <c r="F198" s="14"/>
      <c r="G198" s="266" t="str">
        <f>IF(VLOOKUP(A198,'High Risk Non-Compliant'!B1:K1685,$H$48,FALSE)=0,"N/A",VLOOKUP(A198,'High Risk Non-Compliant'!B1:K1685,$H$48,FALSE))</f>
        <v>#N/A</v>
      </c>
      <c r="H198" s="266" t="str">
        <f>IF(G198="N/A","N/A",VLOOKUP(G198,'Crosswalk Detail'!A1:B958,2,FALSE))</f>
        <v>#N/A</v>
      </c>
      <c r="I198" s="6"/>
      <c r="J198" s="6"/>
      <c r="K198" s="6"/>
      <c r="L198" s="6"/>
      <c r="M198" s="6"/>
      <c r="N198" s="6"/>
      <c r="O198" s="6"/>
      <c r="P198" s="6"/>
      <c r="Q198" s="6"/>
      <c r="R198" s="6"/>
      <c r="S198" s="6"/>
      <c r="T198" s="6"/>
      <c r="U198" s="6"/>
      <c r="V198" s="6"/>
      <c r="W198" s="6"/>
      <c r="X198" s="6"/>
      <c r="Y198" s="6"/>
      <c r="Z198" s="6"/>
    </row>
    <row r="199" ht="144.0" customHeight="1">
      <c r="A199" s="271" t="str">
        <f>'High Risk Non-Compliant'!B155</f>
        <v/>
      </c>
      <c r="B199" s="272" t="str">
        <f>'High Risk Non-Compliant'!C155</f>
        <v/>
      </c>
      <c r="C199" s="14"/>
      <c r="D199" s="269" t="str">
        <f>'High Risk Non-Compliant'!D155</f>
        <v/>
      </c>
      <c r="E199" s="40"/>
      <c r="F199" s="14"/>
      <c r="G199" s="266" t="str">
        <f>IF(VLOOKUP(A199,'High Risk Non-Compliant'!B1:K1685,$H$48,FALSE)=0,"N/A",VLOOKUP(A199,'High Risk Non-Compliant'!B1:K1685,$H$48,FALSE))</f>
        <v>#N/A</v>
      </c>
      <c r="H199" s="266" t="str">
        <f>IF(G199="N/A","N/A",VLOOKUP(G199,'Crosswalk Detail'!A1:B958,2,FALSE))</f>
        <v>#N/A</v>
      </c>
      <c r="I199" s="6"/>
      <c r="J199" s="6"/>
      <c r="K199" s="6"/>
      <c r="L199" s="6"/>
      <c r="M199" s="6"/>
      <c r="N199" s="6"/>
      <c r="O199" s="6"/>
      <c r="P199" s="6"/>
      <c r="Q199" s="6"/>
      <c r="R199" s="6"/>
      <c r="S199" s="6"/>
      <c r="T199" s="6"/>
      <c r="U199" s="6"/>
      <c r="V199" s="6"/>
      <c r="W199" s="6"/>
      <c r="X199" s="6"/>
      <c r="Y199" s="6"/>
      <c r="Z199" s="6"/>
    </row>
    <row r="200" ht="144.0" customHeight="1">
      <c r="A200" s="271" t="str">
        <f>'High Risk Non-Compliant'!B156</f>
        <v/>
      </c>
      <c r="B200" s="272" t="str">
        <f>'High Risk Non-Compliant'!C156</f>
        <v/>
      </c>
      <c r="C200" s="14"/>
      <c r="D200" s="269" t="str">
        <f>'High Risk Non-Compliant'!D156</f>
        <v/>
      </c>
      <c r="E200" s="40"/>
      <c r="F200" s="14"/>
      <c r="G200" s="266" t="str">
        <f>IF(VLOOKUP(A200,'High Risk Non-Compliant'!B1:K1685,$H$48,FALSE)=0,"N/A",VLOOKUP(A200,'High Risk Non-Compliant'!B1:K1685,$H$48,FALSE))</f>
        <v>#N/A</v>
      </c>
      <c r="H200" s="266" t="str">
        <f>IF(G200="N/A","N/A",VLOOKUP(G200,'Crosswalk Detail'!A1:B958,2,FALSE))</f>
        <v>#N/A</v>
      </c>
      <c r="I200" s="6"/>
      <c r="J200" s="6"/>
      <c r="K200" s="6"/>
      <c r="L200" s="6"/>
      <c r="M200" s="6"/>
      <c r="N200" s="6"/>
      <c r="O200" s="6"/>
      <c r="P200" s="6"/>
      <c r="Q200" s="6"/>
      <c r="R200" s="6"/>
      <c r="S200" s="6"/>
      <c r="T200" s="6"/>
      <c r="U200" s="6"/>
      <c r="V200" s="6"/>
      <c r="W200" s="6"/>
      <c r="X200" s="6"/>
      <c r="Y200" s="6"/>
      <c r="Z200" s="6"/>
    </row>
    <row r="201" ht="144.0" customHeight="1">
      <c r="A201" s="271" t="str">
        <f>'High Risk Non-Compliant'!B157</f>
        <v/>
      </c>
      <c r="B201" s="272" t="str">
        <f>'High Risk Non-Compliant'!C157</f>
        <v/>
      </c>
      <c r="C201" s="14"/>
      <c r="D201" s="269" t="str">
        <f>'High Risk Non-Compliant'!D157</f>
        <v/>
      </c>
      <c r="E201" s="40"/>
      <c r="F201" s="14"/>
      <c r="G201" s="266" t="str">
        <f>IF(VLOOKUP(A201,'High Risk Non-Compliant'!B1:K1685,$H$48,FALSE)=0,"N/A",VLOOKUP(A201,'High Risk Non-Compliant'!B1:K1685,$H$48,FALSE))</f>
        <v>#N/A</v>
      </c>
      <c r="H201" s="266" t="str">
        <f>IF(G201="N/A","N/A",VLOOKUP(G201,'Crosswalk Detail'!A1:B958,2,FALSE))</f>
        <v>#N/A</v>
      </c>
      <c r="I201" s="6"/>
      <c r="J201" s="6"/>
      <c r="K201" s="6"/>
      <c r="L201" s="6"/>
      <c r="M201" s="6"/>
      <c r="N201" s="6"/>
      <c r="O201" s="6"/>
      <c r="P201" s="6"/>
      <c r="Q201" s="6"/>
      <c r="R201" s="6"/>
      <c r="S201" s="6"/>
      <c r="T201" s="6"/>
      <c r="U201" s="6"/>
      <c r="V201" s="6"/>
      <c r="W201" s="6"/>
      <c r="X201" s="6"/>
      <c r="Y201" s="6"/>
      <c r="Z201" s="6"/>
    </row>
    <row r="202" ht="144.0" customHeight="1">
      <c r="A202" s="271" t="str">
        <f>'High Risk Non-Compliant'!B158</f>
        <v/>
      </c>
      <c r="B202" s="272" t="str">
        <f>'High Risk Non-Compliant'!C158</f>
        <v/>
      </c>
      <c r="C202" s="14"/>
      <c r="D202" s="269" t="str">
        <f>'High Risk Non-Compliant'!D158</f>
        <v/>
      </c>
      <c r="E202" s="40"/>
      <c r="F202" s="14"/>
      <c r="G202" s="266" t="str">
        <f>IF(VLOOKUP(A202,'High Risk Non-Compliant'!B1:K1685,$H$48,FALSE)=0,"N/A",VLOOKUP(A202,'High Risk Non-Compliant'!B1:K1685,$H$48,FALSE))</f>
        <v>#N/A</v>
      </c>
      <c r="H202" s="266" t="str">
        <f>IF(G202="N/A","N/A",VLOOKUP(G202,'Crosswalk Detail'!A1:B958,2,FALSE))</f>
        <v>#N/A</v>
      </c>
      <c r="I202" s="6"/>
      <c r="J202" s="6"/>
      <c r="K202" s="6"/>
      <c r="L202" s="6"/>
      <c r="M202" s="6"/>
      <c r="N202" s="6"/>
      <c r="O202" s="6"/>
      <c r="P202" s="6"/>
      <c r="Q202" s="6"/>
      <c r="R202" s="6"/>
      <c r="S202" s="6"/>
      <c r="T202" s="6"/>
      <c r="U202" s="6"/>
      <c r="V202" s="6"/>
      <c r="W202" s="6"/>
      <c r="X202" s="6"/>
      <c r="Y202" s="6"/>
      <c r="Z202" s="6"/>
    </row>
    <row r="203" ht="144.0" customHeight="1">
      <c r="A203" s="271" t="str">
        <f>'High Risk Non-Compliant'!B159</f>
        <v/>
      </c>
      <c r="B203" s="272" t="str">
        <f>'High Risk Non-Compliant'!C159</f>
        <v/>
      </c>
      <c r="C203" s="14"/>
      <c r="D203" s="269" t="str">
        <f>'High Risk Non-Compliant'!D159</f>
        <v/>
      </c>
      <c r="E203" s="40"/>
      <c r="F203" s="14"/>
      <c r="G203" s="266" t="str">
        <f>IF(VLOOKUP(A203,'High Risk Non-Compliant'!B1:K1685,$H$48,FALSE)=0,"N/A",VLOOKUP(A203,'High Risk Non-Compliant'!B1:K1685,$H$48,FALSE))</f>
        <v>#N/A</v>
      </c>
      <c r="H203" s="266" t="str">
        <f>IF(G203="N/A","N/A",VLOOKUP(G203,'Crosswalk Detail'!A1:B958,2,FALSE))</f>
        <v>#N/A</v>
      </c>
      <c r="I203" s="6"/>
      <c r="J203" s="6"/>
      <c r="K203" s="6"/>
      <c r="L203" s="6"/>
      <c r="M203" s="6"/>
      <c r="N203" s="6"/>
      <c r="O203" s="6"/>
      <c r="P203" s="6"/>
      <c r="Q203" s="6"/>
      <c r="R203" s="6"/>
      <c r="S203" s="6"/>
      <c r="T203" s="6"/>
      <c r="U203" s="6"/>
      <c r="V203" s="6"/>
      <c r="W203" s="6"/>
      <c r="X203" s="6"/>
      <c r="Y203" s="6"/>
      <c r="Z203" s="6"/>
    </row>
    <row r="204" ht="144.0" customHeight="1">
      <c r="A204" s="271" t="str">
        <f>'High Risk Non-Compliant'!B160</f>
        <v/>
      </c>
      <c r="B204" s="272" t="str">
        <f>'High Risk Non-Compliant'!C160</f>
        <v/>
      </c>
      <c r="C204" s="14"/>
      <c r="D204" s="269" t="str">
        <f>'High Risk Non-Compliant'!D160</f>
        <v/>
      </c>
      <c r="E204" s="40"/>
      <c r="F204" s="14"/>
      <c r="G204" s="266" t="str">
        <f>IF(VLOOKUP(A204,'High Risk Non-Compliant'!B1:K1685,$H$48,FALSE)=0,"N/A",VLOOKUP(A204,'High Risk Non-Compliant'!B1:K1685,$H$48,FALSE))</f>
        <v>#N/A</v>
      </c>
      <c r="H204" s="266" t="str">
        <f>IF(G204="N/A","N/A",VLOOKUP(G204,'Crosswalk Detail'!A1:B958,2,FALSE))</f>
        <v>#N/A</v>
      </c>
      <c r="I204" s="6"/>
      <c r="J204" s="6"/>
      <c r="K204" s="6"/>
      <c r="L204" s="6"/>
      <c r="M204" s="6"/>
      <c r="N204" s="6"/>
      <c r="O204" s="6"/>
      <c r="P204" s="6"/>
      <c r="Q204" s="6"/>
      <c r="R204" s="6"/>
      <c r="S204" s="6"/>
      <c r="T204" s="6"/>
      <c r="U204" s="6"/>
      <c r="V204" s="6"/>
      <c r="W204" s="6"/>
      <c r="X204" s="6"/>
      <c r="Y204" s="6"/>
      <c r="Z204" s="6"/>
    </row>
    <row r="205" ht="144.0" customHeight="1">
      <c r="A205" s="271" t="str">
        <f>'High Risk Non-Compliant'!B161</f>
        <v/>
      </c>
      <c r="B205" s="272" t="str">
        <f>'High Risk Non-Compliant'!C161</f>
        <v/>
      </c>
      <c r="C205" s="14"/>
      <c r="D205" s="269" t="str">
        <f>'High Risk Non-Compliant'!D161</f>
        <v/>
      </c>
      <c r="E205" s="40"/>
      <c r="F205" s="14"/>
      <c r="G205" s="266" t="str">
        <f>IF(VLOOKUP(A205,'High Risk Non-Compliant'!B1:K1685,$H$48,FALSE)=0,"N/A",VLOOKUP(A205,'High Risk Non-Compliant'!B1:K1685,$H$48,FALSE))</f>
        <v>#N/A</v>
      </c>
      <c r="H205" s="266" t="str">
        <f>IF(G205="N/A","N/A",VLOOKUP(G205,'Crosswalk Detail'!A1:B958,2,FALSE))</f>
        <v>#N/A</v>
      </c>
      <c r="I205" s="6"/>
      <c r="J205" s="6"/>
      <c r="K205" s="6"/>
      <c r="L205" s="6"/>
      <c r="M205" s="6"/>
      <c r="N205" s="6"/>
      <c r="O205" s="6"/>
      <c r="P205" s="6"/>
      <c r="Q205" s="6"/>
      <c r="R205" s="6"/>
      <c r="S205" s="6"/>
      <c r="T205" s="6"/>
      <c r="U205" s="6"/>
      <c r="V205" s="6"/>
      <c r="W205" s="6"/>
      <c r="X205" s="6"/>
      <c r="Y205" s="6"/>
      <c r="Z205" s="6"/>
    </row>
    <row r="206" ht="144.0" customHeight="1">
      <c r="A206" s="271" t="str">
        <f>'High Risk Non-Compliant'!B162</f>
        <v/>
      </c>
      <c r="B206" s="272" t="str">
        <f>'High Risk Non-Compliant'!C162</f>
        <v/>
      </c>
      <c r="C206" s="14"/>
      <c r="D206" s="269" t="str">
        <f>'High Risk Non-Compliant'!D162</f>
        <v/>
      </c>
      <c r="E206" s="40"/>
      <c r="F206" s="14"/>
      <c r="G206" s="266" t="str">
        <f>IF(VLOOKUP(A206,'High Risk Non-Compliant'!B1:K1685,$H$48,FALSE)=0,"N/A",VLOOKUP(A206,'High Risk Non-Compliant'!B1:K1685,$H$48,FALSE))</f>
        <v>#N/A</v>
      </c>
      <c r="H206" s="266" t="str">
        <f>IF(G206="N/A","N/A",VLOOKUP(G206,'Crosswalk Detail'!A1:B958,2,FALSE))</f>
        <v>#N/A</v>
      </c>
      <c r="I206" s="6"/>
      <c r="J206" s="6"/>
      <c r="K206" s="6"/>
      <c r="L206" s="6"/>
      <c r="M206" s="6"/>
      <c r="N206" s="6"/>
      <c r="O206" s="6"/>
      <c r="P206" s="6"/>
      <c r="Q206" s="6"/>
      <c r="R206" s="6"/>
      <c r="S206" s="6"/>
      <c r="T206" s="6"/>
      <c r="U206" s="6"/>
      <c r="V206" s="6"/>
      <c r="W206" s="6"/>
      <c r="X206" s="6"/>
      <c r="Y206" s="6"/>
      <c r="Z206" s="6"/>
    </row>
    <row r="207" ht="144.0" customHeight="1">
      <c r="A207" s="271" t="str">
        <f>'High Risk Non-Compliant'!B163</f>
        <v/>
      </c>
      <c r="B207" s="272" t="str">
        <f>'High Risk Non-Compliant'!C163</f>
        <v/>
      </c>
      <c r="C207" s="14"/>
      <c r="D207" s="269" t="str">
        <f>'High Risk Non-Compliant'!D163</f>
        <v/>
      </c>
      <c r="E207" s="40"/>
      <c r="F207" s="14"/>
      <c r="G207" s="266" t="str">
        <f>IF(VLOOKUP(A207,'High Risk Non-Compliant'!B1:K1685,$H$48,FALSE)=0,"N/A",VLOOKUP(A207,'High Risk Non-Compliant'!B1:K1685,$H$48,FALSE))</f>
        <v>#N/A</v>
      </c>
      <c r="H207" s="266" t="str">
        <f>IF(G207="N/A","N/A",VLOOKUP(G207,'Crosswalk Detail'!A1:B958,2,FALSE))</f>
        <v>#N/A</v>
      </c>
      <c r="I207" s="6"/>
      <c r="J207" s="6"/>
      <c r="K207" s="6"/>
      <c r="L207" s="6"/>
      <c r="M207" s="6"/>
      <c r="N207" s="6"/>
      <c r="O207" s="6"/>
      <c r="P207" s="6"/>
      <c r="Q207" s="6"/>
      <c r="R207" s="6"/>
      <c r="S207" s="6"/>
      <c r="T207" s="6"/>
      <c r="U207" s="6"/>
      <c r="V207" s="6"/>
      <c r="W207" s="6"/>
      <c r="X207" s="6"/>
      <c r="Y207" s="6"/>
      <c r="Z207" s="6"/>
    </row>
    <row r="208" ht="144.0" customHeight="1">
      <c r="A208" s="271" t="str">
        <f>'High Risk Non-Compliant'!B164</f>
        <v/>
      </c>
      <c r="B208" s="272" t="str">
        <f>'High Risk Non-Compliant'!C164</f>
        <v/>
      </c>
      <c r="C208" s="14"/>
      <c r="D208" s="269" t="str">
        <f>'High Risk Non-Compliant'!D164</f>
        <v/>
      </c>
      <c r="E208" s="40"/>
      <c r="F208" s="14"/>
      <c r="G208" s="266" t="str">
        <f>IF(VLOOKUP(A208,'High Risk Non-Compliant'!B1:K1685,$H$48,FALSE)=0,"N/A",VLOOKUP(A208,'High Risk Non-Compliant'!B1:K1685,$H$48,FALSE))</f>
        <v>#N/A</v>
      </c>
      <c r="H208" s="266" t="str">
        <f>IF(G208="N/A","N/A",VLOOKUP(G208,'Crosswalk Detail'!A1:B958,2,FALSE))</f>
        <v>#N/A</v>
      </c>
      <c r="I208" s="6"/>
      <c r="J208" s="6"/>
      <c r="K208" s="6"/>
      <c r="L208" s="6"/>
      <c r="M208" s="6"/>
      <c r="N208" s="6"/>
      <c r="O208" s="6"/>
      <c r="P208" s="6"/>
      <c r="Q208" s="6"/>
      <c r="R208" s="6"/>
      <c r="S208" s="6"/>
      <c r="T208" s="6"/>
      <c r="U208" s="6"/>
      <c r="V208" s="6"/>
      <c r="W208" s="6"/>
      <c r="X208" s="6"/>
      <c r="Y208" s="6"/>
      <c r="Z208" s="6"/>
    </row>
    <row r="209" ht="144.0" customHeight="1">
      <c r="A209" s="271" t="str">
        <f>'High Risk Non-Compliant'!B165</f>
        <v/>
      </c>
      <c r="B209" s="272" t="str">
        <f>'High Risk Non-Compliant'!C165</f>
        <v/>
      </c>
      <c r="C209" s="14"/>
      <c r="D209" s="269" t="str">
        <f>'High Risk Non-Compliant'!D165</f>
        <v/>
      </c>
      <c r="E209" s="40"/>
      <c r="F209" s="14"/>
      <c r="G209" s="266" t="str">
        <f>IF(VLOOKUP(A209,'High Risk Non-Compliant'!B1:K1685,$H$48,FALSE)=0,"N/A",VLOOKUP(A209,'High Risk Non-Compliant'!B1:K1685,$H$48,FALSE))</f>
        <v>#N/A</v>
      </c>
      <c r="H209" s="266" t="str">
        <f>IF(G209="N/A","N/A",VLOOKUP(G209,'Crosswalk Detail'!A1:B958,2,FALSE))</f>
        <v>#N/A</v>
      </c>
      <c r="I209" s="6"/>
      <c r="J209" s="6"/>
      <c r="K209" s="6"/>
      <c r="L209" s="6"/>
      <c r="M209" s="6"/>
      <c r="N209" s="6"/>
      <c r="O209" s="6"/>
      <c r="P209" s="6"/>
      <c r="Q209" s="6"/>
      <c r="R209" s="6"/>
      <c r="S209" s="6"/>
      <c r="T209" s="6"/>
      <c r="U209" s="6"/>
      <c r="V209" s="6"/>
      <c r="W209" s="6"/>
      <c r="X209" s="6"/>
      <c r="Y209" s="6"/>
      <c r="Z209" s="6"/>
    </row>
    <row r="210" ht="144.0" customHeight="1">
      <c r="A210" s="271" t="str">
        <f>'High Risk Non-Compliant'!B166</f>
        <v/>
      </c>
      <c r="B210" s="272" t="str">
        <f>'High Risk Non-Compliant'!C166</f>
        <v/>
      </c>
      <c r="C210" s="14"/>
      <c r="D210" s="269" t="str">
        <f>'High Risk Non-Compliant'!D166</f>
        <v/>
      </c>
      <c r="E210" s="40"/>
      <c r="F210" s="14"/>
      <c r="G210" s="266" t="str">
        <f>IF(VLOOKUP(A210,'High Risk Non-Compliant'!B1:K1685,$H$48,FALSE)=0,"N/A",VLOOKUP(A210,'High Risk Non-Compliant'!B1:K1685,$H$48,FALSE))</f>
        <v>#N/A</v>
      </c>
      <c r="H210" s="266" t="str">
        <f>IF(G210="N/A","N/A",VLOOKUP(G210,'Crosswalk Detail'!A1:B958,2,FALSE))</f>
        <v>#N/A</v>
      </c>
      <c r="I210" s="6"/>
      <c r="J210" s="6"/>
      <c r="K210" s="6"/>
      <c r="L210" s="6"/>
      <c r="M210" s="6"/>
      <c r="N210" s="6"/>
      <c r="O210" s="6"/>
      <c r="P210" s="6"/>
      <c r="Q210" s="6"/>
      <c r="R210" s="6"/>
      <c r="S210" s="6"/>
      <c r="T210" s="6"/>
      <c r="U210" s="6"/>
      <c r="V210" s="6"/>
      <c r="W210" s="6"/>
      <c r="X210" s="6"/>
      <c r="Y210" s="6"/>
      <c r="Z210" s="6"/>
    </row>
    <row r="211" ht="144.0" customHeight="1">
      <c r="A211" s="271" t="str">
        <f>'High Risk Non-Compliant'!B167</f>
        <v/>
      </c>
      <c r="B211" s="272" t="str">
        <f>'High Risk Non-Compliant'!C167</f>
        <v/>
      </c>
      <c r="C211" s="14"/>
      <c r="D211" s="269" t="str">
        <f>'High Risk Non-Compliant'!D167</f>
        <v/>
      </c>
      <c r="E211" s="40"/>
      <c r="F211" s="14"/>
      <c r="G211" s="266" t="str">
        <f>IF(VLOOKUP(A211,'High Risk Non-Compliant'!B1:K1685,$H$48,FALSE)=0,"N/A",VLOOKUP(A211,'High Risk Non-Compliant'!B1:K1685,$H$48,FALSE))</f>
        <v>#N/A</v>
      </c>
      <c r="H211" s="266" t="str">
        <f>IF(G211="N/A","N/A",VLOOKUP(G211,'Crosswalk Detail'!A1:B958,2,FALSE))</f>
        <v>#N/A</v>
      </c>
      <c r="I211" s="6"/>
      <c r="J211" s="6"/>
      <c r="K211" s="6"/>
      <c r="L211" s="6"/>
      <c r="M211" s="6"/>
      <c r="N211" s="6"/>
      <c r="O211" s="6"/>
      <c r="P211" s="6"/>
      <c r="Q211" s="6"/>
      <c r="R211" s="6"/>
      <c r="S211" s="6"/>
      <c r="T211" s="6"/>
      <c r="U211" s="6"/>
      <c r="V211" s="6"/>
      <c r="W211" s="6"/>
      <c r="X211" s="6"/>
      <c r="Y211" s="6"/>
      <c r="Z211" s="6"/>
    </row>
    <row r="212" ht="144.0" customHeight="1">
      <c r="A212" s="271" t="str">
        <f>'High Risk Non-Compliant'!B168</f>
        <v/>
      </c>
      <c r="B212" s="272" t="str">
        <f>'High Risk Non-Compliant'!C168</f>
        <v/>
      </c>
      <c r="C212" s="14"/>
      <c r="D212" s="269" t="str">
        <f>'High Risk Non-Compliant'!D168</f>
        <v/>
      </c>
      <c r="E212" s="40"/>
      <c r="F212" s="14"/>
      <c r="G212" s="266" t="str">
        <f>IF(VLOOKUP(A212,'High Risk Non-Compliant'!B1:K1685,$H$48,FALSE)=0,"N/A",VLOOKUP(A212,'High Risk Non-Compliant'!B1:K1685,$H$48,FALSE))</f>
        <v>#N/A</v>
      </c>
      <c r="H212" s="266" t="str">
        <f>IF(G212="N/A","N/A",VLOOKUP(G212,'Crosswalk Detail'!A1:B958,2,FALSE))</f>
        <v>#N/A</v>
      </c>
      <c r="I212" s="6"/>
      <c r="J212" s="6"/>
      <c r="K212" s="6"/>
      <c r="L212" s="6"/>
      <c r="M212" s="6"/>
      <c r="N212" s="6"/>
      <c r="O212" s="6"/>
      <c r="P212" s="6"/>
      <c r="Q212" s="6"/>
      <c r="R212" s="6"/>
      <c r="S212" s="6"/>
      <c r="T212" s="6"/>
      <c r="U212" s="6"/>
      <c r="V212" s="6"/>
      <c r="W212" s="6"/>
      <c r="X212" s="6"/>
      <c r="Y212" s="6"/>
      <c r="Z212" s="6"/>
    </row>
    <row r="213" ht="144.0" customHeight="1">
      <c r="A213" s="271" t="str">
        <f>'High Risk Non-Compliant'!B169</f>
        <v/>
      </c>
      <c r="B213" s="272" t="str">
        <f>'High Risk Non-Compliant'!C169</f>
        <v/>
      </c>
      <c r="C213" s="14"/>
      <c r="D213" s="269" t="str">
        <f>'High Risk Non-Compliant'!D169</f>
        <v/>
      </c>
      <c r="E213" s="40"/>
      <c r="F213" s="14"/>
      <c r="G213" s="266" t="str">
        <f>IF(VLOOKUP(A213,'High Risk Non-Compliant'!B1:K1685,$H$48,FALSE)=0,"N/A",VLOOKUP(A213,'High Risk Non-Compliant'!B1:K1685,$H$48,FALSE))</f>
        <v>#N/A</v>
      </c>
      <c r="H213" s="266" t="str">
        <f>IF(G213="N/A","N/A",VLOOKUP(G213,'Crosswalk Detail'!A1:B958,2,FALSE))</f>
        <v>#N/A</v>
      </c>
      <c r="I213" s="6"/>
      <c r="J213" s="6"/>
      <c r="K213" s="6"/>
      <c r="L213" s="6"/>
      <c r="M213" s="6"/>
      <c r="N213" s="6"/>
      <c r="O213" s="6"/>
      <c r="P213" s="6"/>
      <c r="Q213" s="6"/>
      <c r="R213" s="6"/>
      <c r="S213" s="6"/>
      <c r="T213" s="6"/>
      <c r="U213" s="6"/>
      <c r="V213" s="6"/>
      <c r="W213" s="6"/>
      <c r="X213" s="6"/>
      <c r="Y213" s="6"/>
      <c r="Z213" s="6"/>
    </row>
    <row r="214" ht="144.0" customHeight="1">
      <c r="A214" s="271" t="str">
        <f>'High Risk Non-Compliant'!B170</f>
        <v/>
      </c>
      <c r="B214" s="272" t="str">
        <f>'High Risk Non-Compliant'!C170</f>
        <v/>
      </c>
      <c r="C214" s="14"/>
      <c r="D214" s="269" t="str">
        <f>'High Risk Non-Compliant'!D170</f>
        <v/>
      </c>
      <c r="E214" s="40"/>
      <c r="F214" s="14"/>
      <c r="G214" s="266" t="str">
        <f>IF(VLOOKUP(A214,'High Risk Non-Compliant'!B1:K1685,$H$48,FALSE)=0,"N/A",VLOOKUP(A214,'High Risk Non-Compliant'!B1:K1685,$H$48,FALSE))</f>
        <v>#N/A</v>
      </c>
      <c r="H214" s="266" t="str">
        <f>IF(G214="N/A","N/A",VLOOKUP(G214,'Crosswalk Detail'!A1:B958,2,FALSE))</f>
        <v>#N/A</v>
      </c>
      <c r="I214" s="6"/>
      <c r="J214" s="6"/>
      <c r="K214" s="6"/>
      <c r="L214" s="6"/>
      <c r="M214" s="6"/>
      <c r="N214" s="6"/>
      <c r="O214" s="6"/>
      <c r="P214" s="6"/>
      <c r="Q214" s="6"/>
      <c r="R214" s="6"/>
      <c r="S214" s="6"/>
      <c r="T214" s="6"/>
      <c r="U214" s="6"/>
      <c r="V214" s="6"/>
      <c r="W214" s="6"/>
      <c r="X214" s="6"/>
      <c r="Y214" s="6"/>
      <c r="Z214" s="6"/>
    </row>
    <row r="215" ht="144.0" customHeight="1">
      <c r="A215" s="271" t="str">
        <f>'High Risk Non-Compliant'!B171</f>
        <v/>
      </c>
      <c r="B215" s="272" t="str">
        <f>'High Risk Non-Compliant'!C171</f>
        <v/>
      </c>
      <c r="C215" s="14"/>
      <c r="D215" s="269" t="str">
        <f>'High Risk Non-Compliant'!D171</f>
        <v/>
      </c>
      <c r="E215" s="40"/>
      <c r="F215" s="14"/>
      <c r="G215" s="266" t="str">
        <f>IF(VLOOKUP(A215,'High Risk Non-Compliant'!B1:K1685,$H$48,FALSE)=0,"N/A",VLOOKUP(A215,'High Risk Non-Compliant'!B1:K1685,$H$48,FALSE))</f>
        <v>#N/A</v>
      </c>
      <c r="H215" s="266" t="str">
        <f>IF(G215="N/A","N/A",VLOOKUP(G215,'Crosswalk Detail'!A1:B958,2,FALSE))</f>
        <v>#N/A</v>
      </c>
      <c r="I215" s="6"/>
      <c r="J215" s="6"/>
      <c r="K215" s="6"/>
      <c r="L215" s="6"/>
      <c r="M215" s="6"/>
      <c r="N215" s="6"/>
      <c r="O215" s="6"/>
      <c r="P215" s="6"/>
      <c r="Q215" s="6"/>
      <c r="R215" s="6"/>
      <c r="S215" s="6"/>
      <c r="T215" s="6"/>
      <c r="U215" s="6"/>
      <c r="V215" s="6"/>
      <c r="W215" s="6"/>
      <c r="X215" s="6"/>
      <c r="Y215" s="6"/>
      <c r="Z215" s="6"/>
    </row>
    <row r="216" ht="144.0" customHeight="1">
      <c r="A216" s="271" t="str">
        <f>'High Risk Non-Compliant'!B172</f>
        <v/>
      </c>
      <c r="B216" s="272" t="str">
        <f>'High Risk Non-Compliant'!C172</f>
        <v/>
      </c>
      <c r="C216" s="14"/>
      <c r="D216" s="269" t="str">
        <f>'High Risk Non-Compliant'!D172</f>
        <v/>
      </c>
      <c r="E216" s="40"/>
      <c r="F216" s="14"/>
      <c r="G216" s="266" t="str">
        <f>IF(VLOOKUP(A216,'High Risk Non-Compliant'!B1:K1685,$H$48,FALSE)=0,"N/A",VLOOKUP(A216,'High Risk Non-Compliant'!B1:K1685,$H$48,FALSE))</f>
        <v>#N/A</v>
      </c>
      <c r="H216" s="266" t="str">
        <f>IF(G216="N/A","N/A",VLOOKUP(G216,'Crosswalk Detail'!A1:B958,2,FALSE))</f>
        <v>#N/A</v>
      </c>
      <c r="I216" s="6"/>
      <c r="J216" s="6"/>
      <c r="K216" s="6"/>
      <c r="L216" s="6"/>
      <c r="M216" s="6"/>
      <c r="N216" s="6"/>
      <c r="O216" s="6"/>
      <c r="P216" s="6"/>
      <c r="Q216" s="6"/>
      <c r="R216" s="6"/>
      <c r="S216" s="6"/>
      <c r="T216" s="6"/>
      <c r="U216" s="6"/>
      <c r="V216" s="6"/>
      <c r="W216" s="6"/>
      <c r="X216" s="6"/>
      <c r="Y216" s="6"/>
      <c r="Z216" s="6"/>
    </row>
    <row r="217" ht="144.0" customHeight="1">
      <c r="A217" s="273" t="str">
        <f>'High Risk Non-Compliant'!B173</f>
        <v/>
      </c>
      <c r="B217" s="269" t="str">
        <f>'High Risk Non-Compliant'!C173</f>
        <v/>
      </c>
      <c r="C217" s="14"/>
      <c r="D217" s="269" t="str">
        <f>'High Risk Non-Compliant'!D173</f>
        <v/>
      </c>
      <c r="E217" s="40"/>
      <c r="F217" s="14"/>
      <c r="G217" s="266" t="str">
        <f>IF(VLOOKUP(A217,'High Risk Non-Compliant'!B1:K1685,$H$48,FALSE)=0,"N/A",VLOOKUP(A217,'High Risk Non-Compliant'!B1:K1685,$H$48,FALSE))</f>
        <v>#N/A</v>
      </c>
      <c r="H217" s="266" t="str">
        <f>IF(G217="N/A","N/A",VLOOKUP(G217,'Crosswalk Detail'!A1:B958,2,FALSE))</f>
        <v>#N/A</v>
      </c>
      <c r="I217" s="6"/>
      <c r="J217" s="6"/>
      <c r="K217" s="6"/>
      <c r="L217" s="6"/>
      <c r="M217" s="6"/>
      <c r="N217" s="6"/>
      <c r="O217" s="6"/>
      <c r="P217" s="6"/>
      <c r="Q217" s="6"/>
      <c r="R217" s="6"/>
      <c r="S217" s="6"/>
      <c r="T217" s="6"/>
      <c r="U217" s="6"/>
      <c r="V217" s="6"/>
      <c r="W217" s="6"/>
      <c r="X217" s="6"/>
      <c r="Y217" s="6"/>
      <c r="Z217" s="6"/>
    </row>
    <row r="218" ht="144.0" customHeight="1">
      <c r="A218" s="273" t="str">
        <f>'High Risk Non-Compliant'!B174</f>
        <v/>
      </c>
      <c r="B218" s="269" t="str">
        <f>'High Risk Non-Compliant'!C174</f>
        <v/>
      </c>
      <c r="C218" s="14"/>
      <c r="D218" s="269" t="str">
        <f>'High Risk Non-Compliant'!D174</f>
        <v/>
      </c>
      <c r="E218" s="40"/>
      <c r="F218" s="14"/>
      <c r="G218" s="266" t="str">
        <f>IF(VLOOKUP(A218,'High Risk Non-Compliant'!B1:K1685,$H$48,FALSE)=0,"N/A",VLOOKUP(A218,'High Risk Non-Compliant'!B1:K1685,$H$48,FALSE))</f>
        <v>#N/A</v>
      </c>
      <c r="H218" s="266" t="str">
        <f>IF(G218="N/A","N/A",VLOOKUP(G218,'Crosswalk Detail'!A1:B958,2,FALSE))</f>
        <v>#N/A</v>
      </c>
      <c r="I218" s="6"/>
      <c r="J218" s="6"/>
      <c r="K218" s="6"/>
      <c r="L218" s="6"/>
      <c r="M218" s="6"/>
      <c r="N218" s="6"/>
      <c r="O218" s="6"/>
      <c r="P218" s="6"/>
      <c r="Q218" s="6"/>
      <c r="R218" s="6"/>
      <c r="S218" s="6"/>
      <c r="T218" s="6"/>
      <c r="U218" s="6"/>
      <c r="V218" s="6"/>
      <c r="W218" s="6"/>
      <c r="X218" s="6"/>
      <c r="Y218" s="6"/>
      <c r="Z218" s="6"/>
    </row>
    <row r="219" ht="144.0" customHeight="1">
      <c r="A219" s="273" t="str">
        <f>'High Risk Non-Compliant'!B175</f>
        <v/>
      </c>
      <c r="B219" s="269" t="str">
        <f>'High Risk Non-Compliant'!C175</f>
        <v/>
      </c>
      <c r="C219" s="14"/>
      <c r="D219" s="269" t="str">
        <f>'High Risk Non-Compliant'!D175</f>
        <v/>
      </c>
      <c r="E219" s="40"/>
      <c r="F219" s="14"/>
      <c r="G219" s="266" t="str">
        <f>IF(VLOOKUP(A219,'High Risk Non-Compliant'!B1:K1685,$H$48,FALSE)=0,"N/A",VLOOKUP(A219,'High Risk Non-Compliant'!B1:K1685,$H$48,FALSE))</f>
        <v>#N/A</v>
      </c>
      <c r="H219" s="266" t="str">
        <f>IF(G219="N/A","N/A",VLOOKUP(G219,'Crosswalk Detail'!A1:B958,2,FALSE))</f>
        <v>#N/A</v>
      </c>
      <c r="I219" s="6"/>
      <c r="J219" s="6"/>
      <c r="K219" s="6"/>
      <c r="L219" s="6"/>
      <c r="M219" s="6"/>
      <c r="N219" s="6"/>
      <c r="O219" s="6"/>
      <c r="P219" s="6"/>
      <c r="Q219" s="6"/>
      <c r="R219" s="6"/>
      <c r="S219" s="6"/>
      <c r="T219" s="6"/>
      <c r="U219" s="6"/>
      <c r="V219" s="6"/>
      <c r="W219" s="6"/>
      <c r="X219" s="6"/>
      <c r="Y219" s="6"/>
      <c r="Z219" s="6"/>
    </row>
    <row r="220" ht="144.0" customHeight="1">
      <c r="A220" s="273" t="str">
        <f>'High Risk Non-Compliant'!B176</f>
        <v/>
      </c>
      <c r="B220" s="269" t="str">
        <f>'High Risk Non-Compliant'!C176</f>
        <v/>
      </c>
      <c r="C220" s="14"/>
      <c r="D220" s="269" t="str">
        <f>'High Risk Non-Compliant'!D176</f>
        <v/>
      </c>
      <c r="E220" s="40"/>
      <c r="F220" s="14"/>
      <c r="G220" s="266" t="str">
        <f>VLOOKUP(A220,'High Risk Non-Compliant'!B1:K1685,$H$48,FALSE)</f>
        <v>#N/A</v>
      </c>
      <c r="H220" s="266" t="str">
        <f>VLOOKUP(G220,'Crosswalk Detail'!A1:B958,2,FALSE)</f>
        <v>#N/A</v>
      </c>
      <c r="I220" s="6"/>
      <c r="J220" s="6"/>
      <c r="K220" s="6"/>
      <c r="L220" s="6"/>
      <c r="M220" s="6"/>
      <c r="N220" s="6"/>
      <c r="O220" s="6"/>
      <c r="P220" s="6"/>
      <c r="Q220" s="6"/>
      <c r="R220" s="6"/>
      <c r="S220" s="6"/>
      <c r="T220" s="6"/>
      <c r="U220" s="6"/>
      <c r="V220" s="6"/>
      <c r="W220" s="6"/>
      <c r="X220" s="6"/>
      <c r="Y220" s="6"/>
      <c r="Z220" s="6"/>
    </row>
    <row r="221" ht="144.0" customHeight="1">
      <c r="A221" s="273" t="str">
        <f>'High Risk Non-Compliant'!B177</f>
        <v/>
      </c>
      <c r="B221" s="269" t="str">
        <f>'High Risk Non-Compliant'!C177</f>
        <v/>
      </c>
      <c r="C221" s="14"/>
      <c r="D221" s="269" t="str">
        <f>'High Risk Non-Compliant'!D177</f>
        <v/>
      </c>
      <c r="E221" s="40"/>
      <c r="F221" s="14"/>
      <c r="G221" s="266" t="str">
        <f>VLOOKUP(A221,'High Risk Non-Compliant'!B1:K1685,$H$48,FALSE)</f>
        <v>#N/A</v>
      </c>
      <c r="H221" s="266" t="str">
        <f>VLOOKUP(G221,'Crosswalk Detail'!A1:B958,2,FALSE)</f>
        <v>#N/A</v>
      </c>
      <c r="I221" s="6"/>
      <c r="J221" s="6"/>
      <c r="K221" s="6"/>
      <c r="L221" s="6"/>
      <c r="M221" s="6"/>
      <c r="N221" s="6"/>
      <c r="O221" s="6"/>
      <c r="P221" s="6"/>
      <c r="Q221" s="6"/>
      <c r="R221" s="6"/>
      <c r="S221" s="6"/>
      <c r="T221" s="6"/>
      <c r="U221" s="6"/>
      <c r="V221" s="6"/>
      <c r="W221" s="6"/>
      <c r="X221" s="6"/>
      <c r="Y221" s="6"/>
      <c r="Z221" s="6"/>
    </row>
    <row r="222" ht="144.0" customHeight="1">
      <c r="A222" s="273" t="str">
        <f>'High Risk Non-Compliant'!B178</f>
        <v/>
      </c>
      <c r="B222" s="269" t="str">
        <f>'High Risk Non-Compliant'!C178</f>
        <v/>
      </c>
      <c r="C222" s="14"/>
      <c r="D222" s="269" t="str">
        <f>'High Risk Non-Compliant'!D178</f>
        <v/>
      </c>
      <c r="E222" s="40"/>
      <c r="F222" s="14"/>
      <c r="G222" s="266" t="str">
        <f>VLOOKUP(A222,'High Risk Non-Compliant'!B1:K1685,$H$48,FALSE)</f>
        <v>#N/A</v>
      </c>
      <c r="H222" s="266" t="str">
        <f>VLOOKUP(G222,'Crosswalk Detail'!A1:B958,2,FALSE)</f>
        <v>#N/A</v>
      </c>
      <c r="I222" s="6"/>
      <c r="J222" s="6"/>
      <c r="K222" s="6"/>
      <c r="L222" s="6"/>
      <c r="M222" s="6"/>
      <c r="N222" s="6"/>
      <c r="O222" s="6"/>
      <c r="P222" s="6"/>
      <c r="Q222" s="6"/>
      <c r="R222" s="6"/>
      <c r="S222" s="6"/>
      <c r="T222" s="6"/>
      <c r="U222" s="6"/>
      <c r="V222" s="6"/>
      <c r="W222" s="6"/>
      <c r="X222" s="6"/>
      <c r="Y222" s="6"/>
      <c r="Z222" s="6"/>
    </row>
    <row r="223" ht="144.0" customHeight="1">
      <c r="A223" s="273" t="str">
        <f>'High Risk Non-Compliant'!B179</f>
        <v/>
      </c>
      <c r="B223" s="269" t="str">
        <f>'High Risk Non-Compliant'!C179</f>
        <v/>
      </c>
      <c r="C223" s="14"/>
      <c r="D223" s="269" t="str">
        <f>'High Risk Non-Compliant'!D179</f>
        <v/>
      </c>
      <c r="E223" s="40"/>
      <c r="F223" s="14"/>
      <c r="G223" s="266" t="str">
        <f>VLOOKUP(A223,'High Risk Non-Compliant'!B1:K1685,$H$48,FALSE)</f>
        <v>#N/A</v>
      </c>
      <c r="H223" s="266" t="str">
        <f>VLOOKUP(G223,'Crosswalk Detail'!A1:B958,2,FALSE)</f>
        <v>#N/A</v>
      </c>
      <c r="I223" s="6"/>
      <c r="J223" s="6"/>
      <c r="K223" s="6"/>
      <c r="L223" s="6"/>
      <c r="M223" s="6"/>
      <c r="N223" s="6"/>
      <c r="O223" s="6"/>
      <c r="P223" s="6"/>
      <c r="Q223" s="6"/>
      <c r="R223" s="6"/>
      <c r="S223" s="6"/>
      <c r="T223" s="6"/>
      <c r="U223" s="6"/>
      <c r="V223" s="6"/>
      <c r="W223" s="6"/>
      <c r="X223" s="6"/>
      <c r="Y223" s="6"/>
      <c r="Z223" s="6"/>
    </row>
    <row r="224" ht="144.0" customHeight="1">
      <c r="A224" s="273" t="str">
        <f>'High Risk Non-Compliant'!B180</f>
        <v/>
      </c>
      <c r="B224" s="269" t="str">
        <f>'High Risk Non-Compliant'!C180</f>
        <v/>
      </c>
      <c r="C224" s="14"/>
      <c r="D224" s="269" t="str">
        <f>'High Risk Non-Compliant'!D180</f>
        <v/>
      </c>
      <c r="E224" s="40"/>
      <c r="F224" s="14"/>
      <c r="G224" s="266" t="str">
        <f>VLOOKUP(A224,'High Risk Non-Compliant'!B1:K1685,$H$48,FALSE)</f>
        <v>#N/A</v>
      </c>
      <c r="H224" s="266" t="str">
        <f>VLOOKUP(G224,'Crosswalk Detail'!A1:B958,2,FALSE)</f>
        <v>#N/A</v>
      </c>
      <c r="I224" s="6"/>
      <c r="J224" s="6"/>
      <c r="K224" s="6"/>
      <c r="L224" s="6"/>
      <c r="M224" s="6"/>
      <c r="N224" s="6"/>
      <c r="O224" s="6"/>
      <c r="P224" s="6"/>
      <c r="Q224" s="6"/>
      <c r="R224" s="6"/>
      <c r="S224" s="6"/>
      <c r="T224" s="6"/>
      <c r="U224" s="6"/>
      <c r="V224" s="6"/>
      <c r="W224" s="6"/>
      <c r="X224" s="6"/>
      <c r="Y224" s="6"/>
      <c r="Z224" s="6"/>
    </row>
    <row r="225" ht="144.0" customHeight="1">
      <c r="A225" s="273" t="str">
        <f>'High Risk Non-Compliant'!B181</f>
        <v/>
      </c>
      <c r="B225" s="269" t="str">
        <f>'High Risk Non-Compliant'!C181</f>
        <v/>
      </c>
      <c r="C225" s="14"/>
      <c r="D225" s="269" t="str">
        <f>'High Risk Non-Compliant'!D181</f>
        <v/>
      </c>
      <c r="E225" s="40"/>
      <c r="F225" s="14"/>
      <c r="G225" s="266" t="str">
        <f>VLOOKUP(A225,'High Risk Non-Compliant'!B1:K1685,$H$48,FALSE)</f>
        <v>#N/A</v>
      </c>
      <c r="H225" s="266" t="str">
        <f>VLOOKUP(G225,'Crosswalk Detail'!A1:B958,2,FALSE)</f>
        <v>#N/A</v>
      </c>
      <c r="I225" s="6"/>
      <c r="J225" s="6"/>
      <c r="K225" s="6"/>
      <c r="L225" s="6"/>
      <c r="M225" s="6"/>
      <c r="N225" s="6"/>
      <c r="O225" s="6"/>
      <c r="P225" s="6"/>
      <c r="Q225" s="6"/>
      <c r="R225" s="6"/>
      <c r="S225" s="6"/>
      <c r="T225" s="6"/>
      <c r="U225" s="6"/>
      <c r="V225" s="6"/>
      <c r="W225" s="6"/>
      <c r="X225" s="6"/>
      <c r="Y225" s="6"/>
      <c r="Z225" s="6"/>
    </row>
    <row r="226" ht="18.0" customHeight="1">
      <c r="A226" s="274" t="str">
        <f>'High Risk Non-Compliant'!B182</f>
        <v/>
      </c>
      <c r="B226" s="275" t="str">
        <f>'High Risk Non-Compliant'!C182</f>
        <v/>
      </c>
      <c r="C226" s="14"/>
      <c r="D226" s="275" t="str">
        <f>'High Risk Non-Compliant'!D182</f>
        <v/>
      </c>
      <c r="E226" s="40"/>
      <c r="F226" s="14"/>
      <c r="G226" s="266"/>
      <c r="H226" s="266"/>
      <c r="I226" s="6"/>
      <c r="J226" s="6"/>
      <c r="K226" s="6"/>
      <c r="L226" s="6"/>
      <c r="M226" s="6"/>
      <c r="N226" s="6"/>
      <c r="O226" s="6"/>
      <c r="P226" s="6"/>
      <c r="Q226" s="6"/>
      <c r="R226" s="6"/>
      <c r="S226" s="6"/>
      <c r="T226" s="6"/>
      <c r="U226" s="6"/>
      <c r="V226" s="6"/>
      <c r="W226" s="6"/>
      <c r="X226" s="6"/>
      <c r="Y226" s="6"/>
      <c r="Z226" s="6"/>
    </row>
    <row r="227" ht="29.25" customHeight="1">
      <c r="A227" s="274" t="str">
        <f>'High Risk Non-Compliant'!B183</f>
        <v/>
      </c>
      <c r="B227" s="275" t="str">
        <f>'High Risk Non-Compliant'!C183</f>
        <v/>
      </c>
      <c r="C227" s="14"/>
      <c r="D227" s="275" t="str">
        <f>'High Risk Non-Compliant'!D183</f>
        <v/>
      </c>
      <c r="E227" s="40"/>
      <c r="F227" s="14"/>
      <c r="G227" s="266"/>
      <c r="H227" s="266"/>
      <c r="I227" s="6"/>
      <c r="J227" s="6"/>
      <c r="K227" s="6"/>
      <c r="L227" s="6"/>
      <c r="M227" s="6"/>
      <c r="N227" s="6"/>
      <c r="O227" s="6"/>
      <c r="P227" s="6"/>
      <c r="Q227" s="6"/>
      <c r="R227" s="6"/>
      <c r="S227" s="6"/>
      <c r="T227" s="6"/>
      <c r="U227" s="6"/>
      <c r="V227" s="6"/>
      <c r="W227" s="6"/>
      <c r="X227" s="6"/>
      <c r="Y227" s="6"/>
      <c r="Z227" s="6"/>
    </row>
    <row r="228" ht="29.25" customHeight="1">
      <c r="A228" s="274" t="str">
        <f>'High Risk Non-Compliant'!B184</f>
        <v/>
      </c>
      <c r="B228" s="275" t="str">
        <f>'High Risk Non-Compliant'!C184</f>
        <v/>
      </c>
      <c r="C228" s="14"/>
      <c r="D228" s="275" t="str">
        <f>'High Risk Non-Compliant'!D184</f>
        <v/>
      </c>
      <c r="E228" s="40"/>
      <c r="F228" s="14"/>
      <c r="G228" s="266"/>
      <c r="H228" s="266"/>
      <c r="I228" s="6"/>
      <c r="J228" s="6"/>
      <c r="K228" s="6"/>
      <c r="L228" s="6"/>
      <c r="M228" s="6"/>
      <c r="N228" s="6"/>
      <c r="O228" s="6"/>
      <c r="P228" s="6"/>
      <c r="Q228" s="6"/>
      <c r="R228" s="6"/>
      <c r="S228" s="6"/>
      <c r="T228" s="6"/>
      <c r="U228" s="6"/>
      <c r="V228" s="6"/>
      <c r="W228" s="6"/>
      <c r="X228" s="6"/>
      <c r="Y228" s="6"/>
      <c r="Z228" s="6"/>
    </row>
    <row r="229" ht="18.0" customHeight="1">
      <c r="A229" s="274" t="str">
        <f>'High Risk Non-Compliant'!B185</f>
        <v/>
      </c>
      <c r="B229" s="275" t="str">
        <f>'High Risk Non-Compliant'!C185</f>
        <v/>
      </c>
      <c r="C229" s="14"/>
      <c r="D229" s="275" t="str">
        <f>'High Risk Non-Compliant'!D185</f>
        <v/>
      </c>
      <c r="E229" s="40"/>
      <c r="F229" s="14"/>
      <c r="G229" s="266"/>
      <c r="H229" s="266"/>
      <c r="I229" s="6"/>
      <c r="J229" s="6"/>
      <c r="K229" s="6"/>
      <c r="L229" s="6"/>
      <c r="M229" s="6"/>
      <c r="N229" s="6"/>
      <c r="O229" s="6"/>
      <c r="P229" s="6"/>
      <c r="Q229" s="6"/>
      <c r="R229" s="6"/>
      <c r="S229" s="6"/>
      <c r="T229" s="6"/>
      <c r="U229" s="6"/>
      <c r="V229" s="6"/>
      <c r="W229" s="6"/>
      <c r="X229" s="6"/>
      <c r="Y229" s="6"/>
      <c r="Z229" s="6"/>
    </row>
    <row r="230" ht="29.25" customHeight="1">
      <c r="A230" s="274" t="str">
        <f>'High Risk Non-Compliant'!B186</f>
        <v/>
      </c>
      <c r="B230" s="275" t="str">
        <f>'High Risk Non-Compliant'!C186</f>
        <v/>
      </c>
      <c r="C230" s="14"/>
      <c r="D230" s="275" t="str">
        <f>'High Risk Non-Compliant'!D186</f>
        <v/>
      </c>
      <c r="E230" s="40"/>
      <c r="F230" s="14"/>
      <c r="G230" s="266"/>
      <c r="H230" s="266"/>
      <c r="I230" s="6"/>
      <c r="J230" s="6"/>
      <c r="K230" s="6"/>
      <c r="L230" s="6"/>
      <c r="M230" s="6"/>
      <c r="N230" s="6"/>
      <c r="O230" s="6"/>
      <c r="P230" s="6"/>
      <c r="Q230" s="6"/>
      <c r="R230" s="6"/>
      <c r="S230" s="6"/>
      <c r="T230" s="6"/>
      <c r="U230" s="6"/>
      <c r="V230" s="6"/>
      <c r="W230" s="6"/>
      <c r="X230" s="6"/>
      <c r="Y230" s="6"/>
      <c r="Z230" s="6"/>
    </row>
    <row r="231" ht="29.25" customHeight="1">
      <c r="A231" s="274" t="str">
        <f>'High Risk Non-Compliant'!B187</f>
        <v/>
      </c>
      <c r="B231" s="275" t="str">
        <f>'High Risk Non-Compliant'!C187</f>
        <v/>
      </c>
      <c r="C231" s="14"/>
      <c r="D231" s="275" t="str">
        <f>'High Risk Non-Compliant'!D187</f>
        <v/>
      </c>
      <c r="E231" s="40"/>
      <c r="F231" s="14"/>
      <c r="G231" s="266"/>
      <c r="H231" s="266"/>
      <c r="I231" s="6"/>
      <c r="J231" s="6"/>
      <c r="K231" s="6"/>
      <c r="L231" s="6"/>
      <c r="M231" s="6"/>
      <c r="N231" s="6"/>
      <c r="O231" s="6"/>
      <c r="P231" s="6"/>
      <c r="Q231" s="6"/>
      <c r="R231" s="6"/>
      <c r="S231" s="6"/>
      <c r="T231" s="6"/>
      <c r="U231" s="6"/>
      <c r="V231" s="6"/>
      <c r="W231" s="6"/>
      <c r="X231" s="6"/>
      <c r="Y231" s="6"/>
      <c r="Z231" s="6"/>
    </row>
    <row r="232" ht="43.5" customHeight="1">
      <c r="A232" s="274" t="str">
        <f>'High Risk Non-Compliant'!B188</f>
        <v/>
      </c>
      <c r="B232" s="275" t="str">
        <f>'High Risk Non-Compliant'!C188</f>
        <v/>
      </c>
      <c r="C232" s="14"/>
      <c r="D232" s="275" t="str">
        <f>'High Risk Non-Compliant'!D188</f>
        <v/>
      </c>
      <c r="E232" s="40"/>
      <c r="F232" s="14"/>
      <c r="G232" s="266"/>
      <c r="H232" s="266"/>
      <c r="I232" s="6"/>
      <c r="J232" s="6"/>
      <c r="K232" s="6"/>
      <c r="L232" s="6"/>
      <c r="M232" s="6"/>
      <c r="N232" s="6"/>
      <c r="O232" s="6"/>
      <c r="P232" s="6"/>
      <c r="Q232" s="6"/>
      <c r="R232" s="6"/>
      <c r="S232" s="6"/>
      <c r="T232" s="6"/>
      <c r="U232" s="6"/>
      <c r="V232" s="6"/>
      <c r="W232" s="6"/>
      <c r="X232" s="6"/>
      <c r="Y232" s="6"/>
      <c r="Z232" s="6"/>
    </row>
    <row r="233" ht="18.0" customHeight="1">
      <c r="A233" s="274" t="str">
        <f>'High Risk Non-Compliant'!B189</f>
        <v/>
      </c>
      <c r="B233" s="275" t="str">
        <f>'High Risk Non-Compliant'!C189</f>
        <v/>
      </c>
      <c r="C233" s="14"/>
      <c r="D233" s="275" t="str">
        <f>'High Risk Non-Compliant'!D189</f>
        <v/>
      </c>
      <c r="E233" s="40"/>
      <c r="F233" s="14"/>
      <c r="G233" s="266"/>
      <c r="H233" s="266"/>
      <c r="I233" s="6"/>
      <c r="J233" s="6"/>
      <c r="K233" s="6"/>
      <c r="L233" s="6"/>
      <c r="M233" s="6"/>
      <c r="N233" s="6"/>
      <c r="O233" s="6"/>
      <c r="P233" s="6"/>
      <c r="Q233" s="6"/>
      <c r="R233" s="6"/>
      <c r="S233" s="6"/>
      <c r="T233" s="6"/>
      <c r="U233" s="6"/>
      <c r="V233" s="6"/>
      <c r="W233" s="6"/>
      <c r="X233" s="6"/>
      <c r="Y233" s="6"/>
      <c r="Z233" s="6"/>
    </row>
    <row r="234" ht="18.0" customHeight="1">
      <c r="A234" s="274" t="str">
        <f>'High Risk Non-Compliant'!B190</f>
        <v/>
      </c>
      <c r="B234" s="275" t="str">
        <f>'High Risk Non-Compliant'!C190</f>
        <v/>
      </c>
      <c r="C234" s="14"/>
      <c r="D234" s="275" t="str">
        <f>'High Risk Non-Compliant'!D190</f>
        <v/>
      </c>
      <c r="E234" s="40"/>
      <c r="F234" s="14"/>
      <c r="G234" s="266"/>
      <c r="H234" s="266"/>
      <c r="I234" s="6"/>
      <c r="J234" s="6"/>
      <c r="K234" s="6"/>
      <c r="L234" s="6"/>
      <c r="M234" s="6"/>
      <c r="N234" s="6"/>
      <c r="O234" s="6"/>
      <c r="P234" s="6"/>
      <c r="Q234" s="6"/>
      <c r="R234" s="6"/>
      <c r="S234" s="6"/>
      <c r="T234" s="6"/>
      <c r="U234" s="6"/>
      <c r="V234" s="6"/>
      <c r="W234" s="6"/>
      <c r="X234" s="6"/>
      <c r="Y234" s="6"/>
      <c r="Z234" s="6"/>
    </row>
    <row r="235" ht="18.0" customHeight="1">
      <c r="A235" s="274" t="str">
        <f>'High Risk Non-Compliant'!B191</f>
        <v/>
      </c>
      <c r="B235" s="275" t="str">
        <f>'High Risk Non-Compliant'!C191</f>
        <v/>
      </c>
      <c r="C235" s="14"/>
      <c r="D235" s="275" t="str">
        <f>'High Risk Non-Compliant'!D191</f>
        <v/>
      </c>
      <c r="E235" s="40"/>
      <c r="F235" s="14"/>
      <c r="G235" s="266"/>
      <c r="H235" s="266"/>
      <c r="I235" s="6"/>
      <c r="J235" s="6"/>
      <c r="K235" s="6"/>
      <c r="L235" s="6"/>
      <c r="M235" s="6"/>
      <c r="N235" s="6"/>
      <c r="O235" s="6"/>
      <c r="P235" s="6"/>
      <c r="Q235" s="6"/>
      <c r="R235" s="6"/>
      <c r="S235" s="6"/>
      <c r="T235" s="6"/>
      <c r="U235" s="6"/>
      <c r="V235" s="6"/>
      <c r="W235" s="6"/>
      <c r="X235" s="6"/>
      <c r="Y235" s="6"/>
      <c r="Z235" s="6"/>
    </row>
    <row r="236" ht="18.0" customHeight="1">
      <c r="A236" s="274" t="str">
        <f>'High Risk Non-Compliant'!B192</f>
        <v/>
      </c>
      <c r="B236" s="275" t="str">
        <f>'High Risk Non-Compliant'!C192</f>
        <v/>
      </c>
      <c r="C236" s="14"/>
      <c r="D236" s="275" t="str">
        <f>'High Risk Non-Compliant'!D192</f>
        <v/>
      </c>
      <c r="E236" s="40"/>
      <c r="F236" s="14"/>
      <c r="G236" s="266"/>
      <c r="H236" s="266"/>
      <c r="I236" s="6"/>
      <c r="J236" s="6"/>
      <c r="K236" s="6"/>
      <c r="L236" s="6"/>
      <c r="M236" s="6"/>
      <c r="N236" s="6"/>
      <c r="O236" s="6"/>
      <c r="P236" s="6"/>
      <c r="Q236" s="6"/>
      <c r="R236" s="6"/>
      <c r="S236" s="6"/>
      <c r="T236" s="6"/>
      <c r="U236" s="6"/>
      <c r="V236" s="6"/>
      <c r="W236" s="6"/>
      <c r="X236" s="6"/>
      <c r="Y236" s="6"/>
      <c r="Z236" s="6"/>
    </row>
    <row r="237" ht="18.0" customHeight="1">
      <c r="A237" s="274" t="str">
        <f>'High Risk Non-Compliant'!B193</f>
        <v/>
      </c>
      <c r="B237" s="275" t="str">
        <f>'High Risk Non-Compliant'!C193</f>
        <v/>
      </c>
      <c r="C237" s="14"/>
      <c r="D237" s="275" t="str">
        <f>'High Risk Non-Compliant'!D193</f>
        <v/>
      </c>
      <c r="E237" s="40"/>
      <c r="F237" s="14"/>
      <c r="G237" s="266"/>
      <c r="H237" s="266"/>
      <c r="I237" s="6"/>
      <c r="J237" s="6"/>
      <c r="K237" s="6"/>
      <c r="L237" s="6"/>
      <c r="M237" s="6"/>
      <c r="N237" s="6"/>
      <c r="O237" s="6"/>
      <c r="P237" s="6"/>
      <c r="Q237" s="6"/>
      <c r="R237" s="6"/>
      <c r="S237" s="6"/>
      <c r="T237" s="6"/>
      <c r="U237" s="6"/>
      <c r="V237" s="6"/>
      <c r="W237" s="6"/>
      <c r="X237" s="6"/>
      <c r="Y237" s="6"/>
      <c r="Z237" s="6"/>
    </row>
    <row r="238" ht="18.0" customHeight="1">
      <c r="A238" s="274" t="str">
        <f>'High Risk Non-Compliant'!B194</f>
        <v/>
      </c>
      <c r="B238" s="275" t="str">
        <f>'High Risk Non-Compliant'!C194</f>
        <v/>
      </c>
      <c r="C238" s="14"/>
      <c r="D238" s="275" t="str">
        <f>'High Risk Non-Compliant'!D194</f>
        <v/>
      </c>
      <c r="E238" s="40"/>
      <c r="F238" s="14"/>
      <c r="G238" s="266"/>
      <c r="H238" s="266"/>
      <c r="I238" s="6"/>
      <c r="J238" s="6"/>
      <c r="K238" s="6"/>
      <c r="L238" s="6"/>
      <c r="M238" s="6"/>
      <c r="N238" s="6"/>
      <c r="O238" s="6"/>
      <c r="P238" s="6"/>
      <c r="Q238" s="6"/>
      <c r="R238" s="6"/>
      <c r="S238" s="6"/>
      <c r="T238" s="6"/>
      <c r="U238" s="6"/>
      <c r="V238" s="6"/>
      <c r="W238" s="6"/>
      <c r="X238" s="6"/>
      <c r="Y238" s="6"/>
      <c r="Z238" s="6"/>
    </row>
    <row r="239" ht="18.0" customHeight="1">
      <c r="A239" s="274" t="str">
        <f>'High Risk Non-Compliant'!B195</f>
        <v/>
      </c>
      <c r="B239" s="275" t="str">
        <f>'High Risk Non-Compliant'!C195</f>
        <v/>
      </c>
      <c r="C239" s="14"/>
      <c r="D239" s="275" t="str">
        <f>'High Risk Non-Compliant'!D195</f>
        <v/>
      </c>
      <c r="E239" s="40"/>
      <c r="F239" s="14"/>
      <c r="G239" s="266"/>
      <c r="H239" s="266"/>
      <c r="I239" s="6"/>
      <c r="J239" s="6"/>
      <c r="K239" s="6"/>
      <c r="L239" s="6"/>
      <c r="M239" s="6"/>
      <c r="N239" s="6"/>
      <c r="O239" s="6"/>
      <c r="P239" s="6"/>
      <c r="Q239" s="6"/>
      <c r="R239" s="6"/>
      <c r="S239" s="6"/>
      <c r="T239" s="6"/>
      <c r="U239" s="6"/>
      <c r="V239" s="6"/>
      <c r="W239" s="6"/>
      <c r="X239" s="6"/>
      <c r="Y239" s="6"/>
      <c r="Z239" s="6"/>
    </row>
    <row r="240" ht="18.0" customHeight="1">
      <c r="A240" s="274" t="str">
        <f>'High Risk Non-Compliant'!B196</f>
        <v/>
      </c>
      <c r="B240" s="275" t="str">
        <f>'High Risk Non-Compliant'!C196</f>
        <v/>
      </c>
      <c r="C240" s="14"/>
      <c r="D240" s="275" t="str">
        <f>'High Risk Non-Compliant'!D196</f>
        <v/>
      </c>
      <c r="E240" s="40"/>
      <c r="F240" s="14"/>
      <c r="G240" s="266"/>
      <c r="H240" s="266"/>
      <c r="I240" s="6"/>
      <c r="J240" s="6"/>
      <c r="K240" s="6"/>
      <c r="L240" s="6"/>
      <c r="M240" s="6"/>
      <c r="N240" s="6"/>
      <c r="O240" s="6"/>
      <c r="P240" s="6"/>
      <c r="Q240" s="6"/>
      <c r="R240" s="6"/>
      <c r="S240" s="6"/>
      <c r="T240" s="6"/>
      <c r="U240" s="6"/>
      <c r="V240" s="6"/>
      <c r="W240" s="6"/>
      <c r="X240" s="6"/>
      <c r="Y240" s="6"/>
      <c r="Z240" s="6"/>
    </row>
    <row r="241" ht="18.0" customHeight="1">
      <c r="A241" s="274" t="str">
        <f>'High Risk Non-Compliant'!B197</f>
        <v/>
      </c>
      <c r="B241" s="275" t="str">
        <f>'High Risk Non-Compliant'!C197</f>
        <v/>
      </c>
      <c r="C241" s="14"/>
      <c r="D241" s="275" t="str">
        <f>'High Risk Non-Compliant'!D197</f>
        <v/>
      </c>
      <c r="E241" s="40"/>
      <c r="F241" s="14"/>
      <c r="G241" s="266"/>
      <c r="H241" s="266"/>
      <c r="I241" s="6"/>
      <c r="J241" s="6"/>
      <c r="K241" s="6"/>
      <c r="L241" s="6"/>
      <c r="M241" s="6"/>
      <c r="N241" s="6"/>
      <c r="O241" s="6"/>
      <c r="P241" s="6"/>
      <c r="Q241" s="6"/>
      <c r="R241" s="6"/>
      <c r="S241" s="6"/>
      <c r="T241" s="6"/>
      <c r="U241" s="6"/>
      <c r="V241" s="6"/>
      <c r="W241" s="6"/>
      <c r="X241" s="6"/>
      <c r="Y241" s="6"/>
      <c r="Z241" s="6"/>
    </row>
    <row r="242" ht="18.0" customHeight="1">
      <c r="A242" s="274" t="str">
        <f>'High Risk Non-Compliant'!B198</f>
        <v/>
      </c>
      <c r="B242" s="275" t="str">
        <f>'High Risk Non-Compliant'!C198</f>
        <v/>
      </c>
      <c r="C242" s="14"/>
      <c r="D242" s="275" t="str">
        <f>'High Risk Non-Compliant'!D198</f>
        <v/>
      </c>
      <c r="E242" s="40"/>
      <c r="F242" s="14"/>
      <c r="G242" s="266"/>
      <c r="H242" s="266"/>
      <c r="I242" s="6"/>
      <c r="J242" s="6"/>
      <c r="K242" s="6"/>
      <c r="L242" s="6"/>
      <c r="M242" s="6"/>
      <c r="N242" s="6"/>
      <c r="O242" s="6"/>
      <c r="P242" s="6"/>
      <c r="Q242" s="6"/>
      <c r="R242" s="6"/>
      <c r="S242" s="6"/>
      <c r="T242" s="6"/>
      <c r="U242" s="6"/>
      <c r="V242" s="6"/>
      <c r="W242" s="6"/>
      <c r="X242" s="6"/>
      <c r="Y242" s="6"/>
      <c r="Z242" s="6"/>
    </row>
    <row r="243" ht="29.25" customHeight="1">
      <c r="A243" s="274" t="str">
        <f>'High Risk Non-Compliant'!B199</f>
        <v/>
      </c>
      <c r="B243" s="275" t="str">
        <f>'High Risk Non-Compliant'!C199</f>
        <v/>
      </c>
      <c r="C243" s="14"/>
      <c r="D243" s="275" t="str">
        <f>'High Risk Non-Compliant'!D199</f>
        <v/>
      </c>
      <c r="E243" s="40"/>
      <c r="F243" s="14"/>
      <c r="G243" s="266"/>
      <c r="H243" s="266"/>
      <c r="I243" s="6"/>
      <c r="J243" s="6"/>
      <c r="K243" s="6"/>
      <c r="L243" s="6"/>
      <c r="M243" s="6"/>
      <c r="N243" s="6"/>
      <c r="O243" s="6"/>
      <c r="P243" s="6"/>
      <c r="Q243" s="6"/>
      <c r="R243" s="6"/>
      <c r="S243" s="6"/>
      <c r="T243" s="6"/>
      <c r="U243" s="6"/>
      <c r="V243" s="6"/>
      <c r="W243" s="6"/>
      <c r="X243" s="6"/>
      <c r="Y243" s="6"/>
      <c r="Z243" s="6"/>
    </row>
    <row r="244" ht="29.25" customHeight="1">
      <c r="A244" s="274" t="str">
        <f>'High Risk Non-Compliant'!B200</f>
        <v/>
      </c>
      <c r="B244" s="275" t="str">
        <f>'High Risk Non-Compliant'!C200</f>
        <v/>
      </c>
      <c r="C244" s="14"/>
      <c r="D244" s="275" t="str">
        <f>'High Risk Non-Compliant'!D200</f>
        <v/>
      </c>
      <c r="E244" s="40"/>
      <c r="F244" s="14"/>
      <c r="G244" s="266"/>
      <c r="H244" s="266"/>
      <c r="I244" s="6"/>
      <c r="J244" s="6"/>
      <c r="K244" s="6"/>
      <c r="L244" s="6"/>
      <c r="M244" s="6"/>
      <c r="N244" s="6"/>
      <c r="O244" s="6"/>
      <c r="P244" s="6"/>
      <c r="Q244" s="6"/>
      <c r="R244" s="6"/>
      <c r="S244" s="6"/>
      <c r="T244" s="6"/>
      <c r="U244" s="6"/>
      <c r="V244" s="6"/>
      <c r="W244" s="6"/>
      <c r="X244" s="6"/>
      <c r="Y244" s="6"/>
      <c r="Z244" s="6"/>
    </row>
    <row r="245" ht="58.5" customHeight="1">
      <c r="A245" s="274" t="str">
        <f>'High Risk Non-Compliant'!B201</f>
        <v/>
      </c>
      <c r="B245" s="275" t="str">
        <f>'High Risk Non-Compliant'!C201</f>
        <v/>
      </c>
      <c r="C245" s="14"/>
      <c r="D245" s="275" t="str">
        <f>'High Risk Non-Compliant'!D201</f>
        <v/>
      </c>
      <c r="E245" s="40"/>
      <c r="F245" s="14"/>
      <c r="G245" s="266"/>
      <c r="H245" s="266"/>
      <c r="I245" s="6"/>
      <c r="J245" s="6"/>
      <c r="K245" s="6"/>
      <c r="L245" s="6"/>
      <c r="M245" s="6"/>
      <c r="N245" s="6"/>
      <c r="O245" s="6"/>
      <c r="P245" s="6"/>
      <c r="Q245" s="6"/>
      <c r="R245" s="6"/>
      <c r="S245" s="6"/>
      <c r="T245" s="6"/>
      <c r="U245" s="6"/>
      <c r="V245" s="6"/>
      <c r="W245" s="6"/>
      <c r="X245" s="6"/>
      <c r="Y245" s="6"/>
      <c r="Z245" s="6"/>
    </row>
    <row r="246" ht="43.5" customHeight="1">
      <c r="A246" s="274" t="str">
        <f>'High Risk Non-Compliant'!B202</f>
        <v/>
      </c>
      <c r="B246" s="275" t="str">
        <f>'High Risk Non-Compliant'!C202</f>
        <v/>
      </c>
      <c r="C246" s="14"/>
      <c r="D246" s="275" t="str">
        <f>'High Risk Non-Compliant'!D202</f>
        <v/>
      </c>
      <c r="E246" s="40"/>
      <c r="F246" s="14"/>
      <c r="G246" s="266"/>
      <c r="H246" s="266"/>
      <c r="I246" s="6"/>
      <c r="J246" s="6"/>
      <c r="K246" s="6"/>
      <c r="L246" s="6"/>
      <c r="M246" s="6"/>
      <c r="N246" s="6"/>
      <c r="O246" s="6"/>
      <c r="P246" s="6"/>
      <c r="Q246" s="6"/>
      <c r="R246" s="6"/>
      <c r="S246" s="6"/>
      <c r="T246" s="6"/>
      <c r="U246" s="6"/>
      <c r="V246" s="6"/>
      <c r="W246" s="6"/>
      <c r="X246" s="6"/>
      <c r="Y246" s="6"/>
      <c r="Z246" s="6"/>
    </row>
    <row r="247" ht="29.25" customHeight="1">
      <c r="A247" s="274" t="str">
        <f>'High Risk Non-Compliant'!B203</f>
        <v/>
      </c>
      <c r="B247" s="275" t="str">
        <f>'High Risk Non-Compliant'!C203</f>
        <v/>
      </c>
      <c r="C247" s="14"/>
      <c r="D247" s="275" t="str">
        <f>'High Risk Non-Compliant'!D203</f>
        <v/>
      </c>
      <c r="E247" s="40"/>
      <c r="F247" s="14"/>
      <c r="G247" s="266"/>
      <c r="H247" s="266"/>
      <c r="I247" s="6"/>
      <c r="J247" s="6"/>
      <c r="K247" s="6"/>
      <c r="L247" s="6"/>
      <c r="M247" s="6"/>
      <c r="N247" s="6"/>
      <c r="O247" s="6"/>
      <c r="P247" s="6"/>
      <c r="Q247" s="6"/>
      <c r="R247" s="6"/>
      <c r="S247" s="6"/>
      <c r="T247" s="6"/>
      <c r="U247" s="6"/>
      <c r="V247" s="6"/>
      <c r="W247" s="6"/>
      <c r="X247" s="6"/>
      <c r="Y247" s="6"/>
      <c r="Z247" s="6"/>
    </row>
    <row r="248" ht="43.5" customHeight="1">
      <c r="A248" s="274" t="str">
        <f>'High Risk Non-Compliant'!B204</f>
        <v/>
      </c>
      <c r="B248" s="275" t="str">
        <f>'High Risk Non-Compliant'!C204</f>
        <v/>
      </c>
      <c r="C248" s="14"/>
      <c r="D248" s="275" t="str">
        <f>'High Risk Non-Compliant'!D204</f>
        <v/>
      </c>
      <c r="E248" s="40"/>
      <c r="F248" s="14"/>
      <c r="G248" s="266"/>
      <c r="H248" s="266"/>
      <c r="I248" s="6"/>
      <c r="J248" s="6"/>
      <c r="K248" s="6"/>
      <c r="L248" s="6"/>
      <c r="M248" s="6"/>
      <c r="N248" s="6"/>
      <c r="O248" s="6"/>
      <c r="P248" s="6"/>
      <c r="Q248" s="6"/>
      <c r="R248" s="6"/>
      <c r="S248" s="6"/>
      <c r="T248" s="6"/>
      <c r="U248" s="6"/>
      <c r="V248" s="6"/>
      <c r="W248" s="6"/>
      <c r="X248" s="6"/>
      <c r="Y248" s="6"/>
      <c r="Z248" s="6"/>
    </row>
    <row r="249" ht="29.25" customHeight="1">
      <c r="A249" s="274" t="str">
        <f>'High Risk Non-Compliant'!B205</f>
        <v/>
      </c>
      <c r="B249" s="275" t="str">
        <f>'High Risk Non-Compliant'!C205</f>
        <v/>
      </c>
      <c r="C249" s="14"/>
      <c r="D249" s="275" t="str">
        <f>'High Risk Non-Compliant'!D205</f>
        <v/>
      </c>
      <c r="E249" s="40"/>
      <c r="F249" s="14"/>
      <c r="G249" s="266"/>
      <c r="H249" s="266"/>
      <c r="I249" s="6"/>
      <c r="J249" s="6"/>
      <c r="K249" s="6"/>
      <c r="L249" s="6"/>
      <c r="M249" s="6"/>
      <c r="N249" s="6"/>
      <c r="O249" s="6"/>
      <c r="P249" s="6"/>
      <c r="Q249" s="6"/>
      <c r="R249" s="6"/>
      <c r="S249" s="6"/>
      <c r="T249" s="6"/>
      <c r="U249" s="6"/>
      <c r="V249" s="6"/>
      <c r="W249" s="6"/>
      <c r="X249" s="6"/>
      <c r="Y249" s="6"/>
      <c r="Z249" s="6"/>
    </row>
    <row r="250" ht="175.5" customHeight="1">
      <c r="A250" s="274" t="str">
        <f>'High Risk Non-Compliant'!B206</f>
        <v/>
      </c>
      <c r="B250" s="275" t="str">
        <f>'High Risk Non-Compliant'!C206</f>
        <v/>
      </c>
      <c r="C250" s="14"/>
      <c r="D250" s="275" t="str">
        <f>'High Risk Non-Compliant'!D206</f>
        <v/>
      </c>
      <c r="E250" s="40"/>
      <c r="F250" s="14"/>
      <c r="G250" s="266"/>
      <c r="H250" s="266"/>
      <c r="I250" s="6"/>
      <c r="J250" s="6"/>
      <c r="K250" s="6"/>
      <c r="L250" s="6"/>
      <c r="M250" s="6"/>
      <c r="N250" s="6"/>
      <c r="O250" s="6"/>
      <c r="P250" s="6"/>
      <c r="Q250" s="6"/>
      <c r="R250" s="6"/>
      <c r="S250" s="6"/>
      <c r="T250" s="6"/>
      <c r="U250" s="6"/>
      <c r="V250" s="6"/>
      <c r="W250" s="6"/>
      <c r="X250" s="6"/>
      <c r="Y250" s="6"/>
      <c r="Z250" s="6"/>
    </row>
    <row r="251" ht="72.75" customHeight="1">
      <c r="A251" s="274" t="str">
        <f>'High Risk Non-Compliant'!B207</f>
        <v/>
      </c>
      <c r="B251" s="275" t="str">
        <f>'High Risk Non-Compliant'!C207</f>
        <v/>
      </c>
      <c r="C251" s="14"/>
      <c r="D251" s="275" t="str">
        <f>'High Risk Non-Compliant'!D207</f>
        <v/>
      </c>
      <c r="E251" s="40"/>
      <c r="F251" s="14"/>
      <c r="G251" s="266"/>
      <c r="H251" s="266"/>
      <c r="I251" s="6"/>
      <c r="J251" s="6"/>
      <c r="K251" s="6"/>
      <c r="L251" s="6"/>
      <c r="M251" s="6"/>
      <c r="N251" s="6"/>
      <c r="O251" s="6"/>
      <c r="P251" s="6"/>
      <c r="Q251" s="6"/>
      <c r="R251" s="6"/>
      <c r="S251" s="6"/>
      <c r="T251" s="6"/>
      <c r="U251" s="6"/>
      <c r="V251" s="6"/>
      <c r="W251" s="6"/>
      <c r="X251" s="6"/>
      <c r="Y251" s="6"/>
      <c r="Z251" s="6"/>
    </row>
    <row r="252" ht="87.75" customHeight="1">
      <c r="A252" s="274" t="str">
        <f>'High Risk Non-Compliant'!B208</f>
        <v/>
      </c>
      <c r="B252" s="275" t="str">
        <f>'High Risk Non-Compliant'!C208</f>
        <v/>
      </c>
      <c r="C252" s="14"/>
      <c r="D252" s="275" t="str">
        <f>'High Risk Non-Compliant'!D208</f>
        <v/>
      </c>
      <c r="E252" s="40"/>
      <c r="F252" s="14"/>
      <c r="G252" s="266"/>
      <c r="H252" s="266"/>
      <c r="I252" s="6"/>
      <c r="J252" s="6"/>
      <c r="K252" s="6"/>
      <c r="L252" s="6"/>
      <c r="M252" s="6"/>
      <c r="N252" s="6"/>
      <c r="O252" s="6"/>
      <c r="P252" s="6"/>
      <c r="Q252" s="6"/>
      <c r="R252" s="6"/>
      <c r="S252" s="6"/>
      <c r="T252" s="6"/>
      <c r="U252" s="6"/>
      <c r="V252" s="6"/>
      <c r="W252" s="6"/>
      <c r="X252" s="6"/>
      <c r="Y252" s="6"/>
      <c r="Z252" s="6"/>
    </row>
    <row r="253" ht="18.0" customHeight="1">
      <c r="A253" s="274" t="str">
        <f>'High Risk Non-Compliant'!B209</f>
        <v/>
      </c>
      <c r="B253" s="275" t="str">
        <f>'High Risk Non-Compliant'!C209</f>
        <v/>
      </c>
      <c r="C253" s="14"/>
      <c r="D253" s="275" t="str">
        <f>'High Risk Non-Compliant'!D209</f>
        <v/>
      </c>
      <c r="E253" s="40"/>
      <c r="F253" s="14"/>
      <c r="G253" s="266"/>
      <c r="H253" s="266"/>
      <c r="I253" s="6"/>
      <c r="J253" s="6"/>
      <c r="K253" s="6"/>
      <c r="L253" s="6"/>
      <c r="M253" s="6"/>
      <c r="N253" s="6"/>
      <c r="O253" s="6"/>
      <c r="P253" s="6"/>
      <c r="Q253" s="6"/>
      <c r="R253" s="6"/>
      <c r="S253" s="6"/>
      <c r="T253" s="6"/>
      <c r="U253" s="6"/>
      <c r="V253" s="6"/>
      <c r="W253" s="6"/>
      <c r="X253" s="6"/>
      <c r="Y253" s="6"/>
      <c r="Z253" s="6"/>
    </row>
    <row r="254" ht="29.25" customHeight="1">
      <c r="A254" s="274" t="str">
        <f>'High Risk Non-Compliant'!B210</f>
        <v/>
      </c>
      <c r="B254" s="275" t="str">
        <f>'High Risk Non-Compliant'!C210</f>
        <v/>
      </c>
      <c r="C254" s="14"/>
      <c r="D254" s="275" t="str">
        <f>'High Risk Non-Compliant'!D210</f>
        <v/>
      </c>
      <c r="E254" s="40"/>
      <c r="F254" s="14"/>
      <c r="G254" s="266"/>
      <c r="H254" s="266"/>
      <c r="I254" s="6"/>
      <c r="J254" s="6"/>
      <c r="K254" s="6"/>
      <c r="L254" s="6"/>
      <c r="M254" s="6"/>
      <c r="N254" s="6"/>
      <c r="O254" s="6"/>
      <c r="P254" s="6"/>
      <c r="Q254" s="6"/>
      <c r="R254" s="6"/>
      <c r="S254" s="6"/>
      <c r="T254" s="6"/>
      <c r="U254" s="6"/>
      <c r="V254" s="6"/>
      <c r="W254" s="6"/>
      <c r="X254" s="6"/>
      <c r="Y254" s="6"/>
      <c r="Z254" s="6"/>
    </row>
    <row r="255" ht="18.0" customHeight="1">
      <c r="A255" s="274" t="str">
        <f>'High Risk Non-Compliant'!B211</f>
        <v/>
      </c>
      <c r="B255" s="275" t="str">
        <f>'High Risk Non-Compliant'!C211</f>
        <v/>
      </c>
      <c r="C255" s="14"/>
      <c r="D255" s="275" t="str">
        <f>'High Risk Non-Compliant'!D211</f>
        <v/>
      </c>
      <c r="E255" s="40"/>
      <c r="F255" s="14"/>
      <c r="G255" s="266"/>
      <c r="H255" s="266"/>
      <c r="I255" s="6"/>
      <c r="J255" s="6"/>
      <c r="K255" s="6"/>
      <c r="L255" s="6"/>
      <c r="M255" s="6"/>
      <c r="N255" s="6"/>
      <c r="O255" s="6"/>
      <c r="P255" s="6"/>
      <c r="Q255" s="6"/>
      <c r="R255" s="6"/>
      <c r="S255" s="6"/>
      <c r="T255" s="6"/>
      <c r="U255" s="6"/>
      <c r="V255" s="6"/>
      <c r="W255" s="6"/>
      <c r="X255" s="6"/>
      <c r="Y255" s="6"/>
      <c r="Z255" s="6"/>
    </row>
    <row r="256" ht="18.0" customHeight="1">
      <c r="A256" s="274" t="str">
        <f>'High Risk Non-Compliant'!B212</f>
        <v/>
      </c>
      <c r="B256" s="275" t="str">
        <f>'High Risk Non-Compliant'!C212</f>
        <v/>
      </c>
      <c r="C256" s="14"/>
      <c r="D256" s="275" t="str">
        <f>'High Risk Non-Compliant'!D212</f>
        <v/>
      </c>
      <c r="E256" s="40"/>
      <c r="F256" s="14"/>
      <c r="G256" s="266"/>
      <c r="H256" s="266"/>
      <c r="I256" s="6"/>
      <c r="J256" s="6"/>
      <c r="K256" s="6"/>
      <c r="L256" s="6"/>
      <c r="M256" s="6"/>
      <c r="N256" s="6"/>
      <c r="O256" s="6"/>
      <c r="P256" s="6"/>
      <c r="Q256" s="6"/>
      <c r="R256" s="6"/>
      <c r="S256" s="6"/>
      <c r="T256" s="6"/>
      <c r="U256" s="6"/>
      <c r="V256" s="6"/>
      <c r="W256" s="6"/>
      <c r="X256" s="6"/>
      <c r="Y256" s="6"/>
      <c r="Z256" s="6"/>
    </row>
    <row r="257" ht="18.0" customHeight="1">
      <c r="A257" s="274" t="str">
        <f>'High Risk Non-Compliant'!B213</f>
        <v/>
      </c>
      <c r="B257" s="275" t="str">
        <f>'High Risk Non-Compliant'!C213</f>
        <v/>
      </c>
      <c r="C257" s="14"/>
      <c r="D257" s="275" t="str">
        <f>'High Risk Non-Compliant'!D213</f>
        <v/>
      </c>
      <c r="E257" s="40"/>
      <c r="F257" s="14"/>
      <c r="G257" s="266"/>
      <c r="H257" s="266"/>
      <c r="I257" s="6"/>
      <c r="J257" s="6"/>
      <c r="K257" s="6"/>
      <c r="L257" s="6"/>
      <c r="M257" s="6"/>
      <c r="N257" s="6"/>
      <c r="O257" s="6"/>
      <c r="P257" s="6"/>
      <c r="Q257" s="6"/>
      <c r="R257" s="6"/>
      <c r="S257" s="6"/>
      <c r="T257" s="6"/>
      <c r="U257" s="6"/>
      <c r="V257" s="6"/>
      <c r="W257" s="6"/>
      <c r="X257" s="6"/>
      <c r="Y257" s="6"/>
      <c r="Z257" s="6"/>
    </row>
    <row r="258" ht="18.0" customHeight="1">
      <c r="A258" s="274" t="str">
        <f>'High Risk Non-Compliant'!B214</f>
        <v/>
      </c>
      <c r="B258" s="275" t="str">
        <f>'High Risk Non-Compliant'!C214</f>
        <v/>
      </c>
      <c r="C258" s="14"/>
      <c r="D258" s="275" t="str">
        <f>'High Risk Non-Compliant'!D214</f>
        <v/>
      </c>
      <c r="E258" s="40"/>
      <c r="F258" s="14"/>
      <c r="G258" s="266"/>
      <c r="H258" s="266"/>
      <c r="I258" s="6"/>
      <c r="J258" s="6"/>
      <c r="K258" s="6"/>
      <c r="L258" s="6"/>
      <c r="M258" s="6"/>
      <c r="N258" s="6"/>
      <c r="O258" s="6"/>
      <c r="P258" s="6"/>
      <c r="Q258" s="6"/>
      <c r="R258" s="6"/>
      <c r="S258" s="6"/>
      <c r="T258" s="6"/>
      <c r="U258" s="6"/>
      <c r="V258" s="6"/>
      <c r="W258" s="6"/>
      <c r="X258" s="6"/>
      <c r="Y258" s="6"/>
      <c r="Z258" s="6"/>
    </row>
    <row r="259" ht="18.0" customHeight="1">
      <c r="A259" s="274" t="str">
        <f>'High Risk Non-Compliant'!B215</f>
        <v/>
      </c>
      <c r="B259" s="275" t="str">
        <f>'High Risk Non-Compliant'!C215</f>
        <v/>
      </c>
      <c r="C259" s="14"/>
      <c r="D259" s="275" t="str">
        <f>'High Risk Non-Compliant'!D215</f>
        <v/>
      </c>
      <c r="E259" s="40"/>
      <c r="F259" s="14"/>
      <c r="G259" s="266"/>
      <c r="H259" s="266"/>
      <c r="I259" s="6"/>
      <c r="J259" s="6"/>
      <c r="K259" s="6"/>
      <c r="L259" s="6"/>
      <c r="M259" s="6"/>
      <c r="N259" s="6"/>
      <c r="O259" s="6"/>
      <c r="P259" s="6"/>
      <c r="Q259" s="6"/>
      <c r="R259" s="6"/>
      <c r="S259" s="6"/>
      <c r="T259" s="6"/>
      <c r="U259" s="6"/>
      <c r="V259" s="6"/>
      <c r="W259" s="6"/>
      <c r="X259" s="6"/>
      <c r="Y259" s="6"/>
      <c r="Z259" s="6"/>
    </row>
    <row r="260" ht="18.0" customHeight="1">
      <c r="A260" s="274" t="str">
        <f>'High Risk Non-Compliant'!B216</f>
        <v/>
      </c>
      <c r="B260" s="275" t="str">
        <f>'High Risk Non-Compliant'!C216</f>
        <v/>
      </c>
      <c r="C260" s="14"/>
      <c r="D260" s="275" t="str">
        <f>'High Risk Non-Compliant'!D216</f>
        <v/>
      </c>
      <c r="E260" s="40"/>
      <c r="F260" s="14"/>
      <c r="G260" s="266"/>
      <c r="H260" s="266"/>
      <c r="I260" s="6"/>
      <c r="J260" s="6"/>
      <c r="K260" s="6"/>
      <c r="L260" s="6"/>
      <c r="M260" s="6"/>
      <c r="N260" s="6"/>
      <c r="O260" s="6"/>
      <c r="P260" s="6"/>
      <c r="Q260" s="6"/>
      <c r="R260" s="6"/>
      <c r="S260" s="6"/>
      <c r="T260" s="6"/>
      <c r="U260" s="6"/>
      <c r="V260" s="6"/>
      <c r="W260" s="6"/>
      <c r="X260" s="6"/>
      <c r="Y260" s="6"/>
      <c r="Z260" s="6"/>
    </row>
    <row r="261" ht="18.0" customHeight="1">
      <c r="A261" s="274" t="str">
        <f>'High Risk Non-Compliant'!B217</f>
        <v/>
      </c>
      <c r="B261" s="275" t="str">
        <f>'High Risk Non-Compliant'!C217</f>
        <v/>
      </c>
      <c r="C261" s="14"/>
      <c r="D261" s="275" t="str">
        <f>'High Risk Non-Compliant'!D217</f>
        <v/>
      </c>
      <c r="E261" s="40"/>
      <c r="F261" s="14"/>
      <c r="G261" s="266"/>
      <c r="H261" s="266"/>
      <c r="I261" s="6"/>
      <c r="J261" s="6"/>
      <c r="K261" s="6"/>
      <c r="L261" s="6"/>
      <c r="M261" s="6"/>
      <c r="N261" s="6"/>
      <c r="O261" s="6"/>
      <c r="P261" s="6"/>
      <c r="Q261" s="6"/>
      <c r="R261" s="6"/>
      <c r="S261" s="6"/>
      <c r="T261" s="6"/>
      <c r="U261" s="6"/>
      <c r="V261" s="6"/>
      <c r="W261" s="6"/>
      <c r="X261" s="6"/>
      <c r="Y261" s="6"/>
      <c r="Z261" s="6"/>
    </row>
    <row r="262" ht="18.0" customHeight="1">
      <c r="A262" s="274" t="str">
        <f>'High Risk Non-Compliant'!B218</f>
        <v/>
      </c>
      <c r="B262" s="275" t="str">
        <f>'High Risk Non-Compliant'!C218</f>
        <v/>
      </c>
      <c r="C262" s="14"/>
      <c r="D262" s="275" t="str">
        <f>'High Risk Non-Compliant'!D218</f>
        <v/>
      </c>
      <c r="E262" s="40"/>
      <c r="F262" s="14"/>
      <c r="G262" s="266"/>
      <c r="H262" s="266"/>
      <c r="I262" s="6"/>
      <c r="J262" s="6"/>
      <c r="K262" s="6"/>
      <c r="L262" s="6"/>
      <c r="M262" s="6"/>
      <c r="N262" s="6"/>
      <c r="O262" s="6"/>
      <c r="P262" s="6"/>
      <c r="Q262" s="6"/>
      <c r="R262" s="6"/>
      <c r="S262" s="6"/>
      <c r="T262" s="6"/>
      <c r="U262" s="6"/>
      <c r="V262" s="6"/>
      <c r="W262" s="6"/>
      <c r="X262" s="6"/>
      <c r="Y262" s="6"/>
      <c r="Z262" s="6"/>
    </row>
    <row r="263" ht="18.0" customHeight="1">
      <c r="A263" s="274" t="str">
        <f>'High Risk Non-Compliant'!B219</f>
        <v/>
      </c>
      <c r="B263" s="275" t="str">
        <f>'High Risk Non-Compliant'!C219</f>
        <v/>
      </c>
      <c r="C263" s="14"/>
      <c r="D263" s="275" t="str">
        <f>'High Risk Non-Compliant'!D219</f>
        <v/>
      </c>
      <c r="E263" s="40"/>
      <c r="F263" s="14"/>
      <c r="G263" s="266"/>
      <c r="H263" s="266"/>
      <c r="I263" s="6"/>
      <c r="J263" s="6"/>
      <c r="K263" s="6"/>
      <c r="L263" s="6"/>
      <c r="M263" s="6"/>
      <c r="N263" s="6"/>
      <c r="O263" s="6"/>
      <c r="P263" s="6"/>
      <c r="Q263" s="6"/>
      <c r="R263" s="6"/>
      <c r="S263" s="6"/>
      <c r="T263" s="6"/>
      <c r="U263" s="6"/>
      <c r="V263" s="6"/>
      <c r="W263" s="6"/>
      <c r="X263" s="6"/>
      <c r="Y263" s="6"/>
      <c r="Z263" s="6"/>
    </row>
    <row r="264" ht="18.0" customHeight="1">
      <c r="A264" s="274" t="str">
        <f>'High Risk Non-Compliant'!B220</f>
        <v/>
      </c>
      <c r="B264" s="275" t="str">
        <f>'High Risk Non-Compliant'!C220</f>
        <v/>
      </c>
      <c r="C264" s="14"/>
      <c r="D264" s="275" t="str">
        <f>'High Risk Non-Compliant'!D220</f>
        <v/>
      </c>
      <c r="E264" s="40"/>
      <c r="F264" s="14"/>
      <c r="G264" s="266"/>
      <c r="H264" s="266"/>
      <c r="I264" s="6"/>
      <c r="J264" s="6"/>
      <c r="K264" s="6"/>
      <c r="L264" s="6"/>
      <c r="M264" s="6"/>
      <c r="N264" s="6"/>
      <c r="O264" s="6"/>
      <c r="P264" s="6"/>
      <c r="Q264" s="6"/>
      <c r="R264" s="6"/>
      <c r="S264" s="6"/>
      <c r="T264" s="6"/>
      <c r="U264" s="6"/>
      <c r="V264" s="6"/>
      <c r="W264" s="6"/>
      <c r="X264" s="6"/>
      <c r="Y264" s="6"/>
      <c r="Z264" s="6"/>
    </row>
    <row r="265" ht="58.5" customHeight="1">
      <c r="A265" s="274" t="str">
        <f>'High Risk Non-Compliant'!B221</f>
        <v/>
      </c>
      <c r="B265" s="275" t="str">
        <f>'High Risk Non-Compliant'!C221</f>
        <v/>
      </c>
      <c r="C265" s="14"/>
      <c r="D265" s="275" t="str">
        <f>'High Risk Non-Compliant'!D221</f>
        <v/>
      </c>
      <c r="E265" s="40"/>
      <c r="F265" s="14"/>
      <c r="G265" s="266"/>
      <c r="H265" s="266"/>
      <c r="I265" s="6"/>
      <c r="J265" s="6"/>
      <c r="K265" s="6"/>
      <c r="L265" s="6"/>
      <c r="M265" s="6"/>
      <c r="N265" s="6"/>
      <c r="O265" s="6"/>
      <c r="P265" s="6"/>
      <c r="Q265" s="6"/>
      <c r="R265" s="6"/>
      <c r="S265" s="6"/>
      <c r="T265" s="6"/>
      <c r="U265" s="6"/>
      <c r="V265" s="6"/>
      <c r="W265" s="6"/>
      <c r="X265" s="6"/>
      <c r="Y265" s="6"/>
      <c r="Z265" s="6"/>
    </row>
    <row r="266" ht="58.5" customHeight="1">
      <c r="A266" s="274" t="str">
        <f>'High Risk Non-Compliant'!B222</f>
        <v/>
      </c>
      <c r="B266" s="275" t="str">
        <f>'High Risk Non-Compliant'!C222</f>
        <v/>
      </c>
      <c r="C266" s="14"/>
      <c r="D266" s="275" t="str">
        <f>'High Risk Non-Compliant'!D222</f>
        <v/>
      </c>
      <c r="E266" s="40"/>
      <c r="F266" s="14"/>
      <c r="G266" s="266"/>
      <c r="H266" s="266"/>
      <c r="I266" s="6"/>
      <c r="J266" s="6"/>
      <c r="K266" s="6"/>
      <c r="L266" s="6"/>
      <c r="M266" s="6"/>
      <c r="N266" s="6"/>
      <c r="O266" s="6"/>
      <c r="P266" s="6"/>
      <c r="Q266" s="6"/>
      <c r="R266" s="6"/>
      <c r="S266" s="6"/>
      <c r="T266" s="6"/>
      <c r="U266" s="6"/>
      <c r="V266" s="6"/>
      <c r="W266" s="6"/>
      <c r="X266" s="6"/>
      <c r="Y266" s="6"/>
      <c r="Z266" s="6"/>
    </row>
    <row r="267" ht="58.5" customHeight="1">
      <c r="A267" s="274" t="str">
        <f>'High Risk Non-Compliant'!B223</f>
        <v/>
      </c>
      <c r="B267" s="275" t="str">
        <f>'High Risk Non-Compliant'!C223</f>
        <v/>
      </c>
      <c r="C267" s="14"/>
      <c r="D267" s="275" t="str">
        <f>'High Risk Non-Compliant'!D223</f>
        <v/>
      </c>
      <c r="E267" s="40"/>
      <c r="F267" s="14"/>
      <c r="G267" s="266"/>
      <c r="H267" s="266"/>
      <c r="I267" s="6"/>
      <c r="J267" s="6"/>
      <c r="K267" s="6"/>
      <c r="L267" s="6"/>
      <c r="M267" s="6"/>
      <c r="N267" s="6"/>
      <c r="O267" s="6"/>
      <c r="P267" s="6"/>
      <c r="Q267" s="6"/>
      <c r="R267" s="6"/>
      <c r="S267" s="6"/>
      <c r="T267" s="6"/>
      <c r="U267" s="6"/>
      <c r="V267" s="6"/>
      <c r="W267" s="6"/>
      <c r="X267" s="6"/>
      <c r="Y267" s="6"/>
      <c r="Z267" s="6"/>
    </row>
    <row r="268" ht="58.5" customHeight="1">
      <c r="A268" s="274" t="str">
        <f>'High Risk Non-Compliant'!B224</f>
        <v/>
      </c>
      <c r="B268" s="275" t="str">
        <f>'High Risk Non-Compliant'!C224</f>
        <v/>
      </c>
      <c r="C268" s="14"/>
      <c r="D268" s="275" t="str">
        <f>'High Risk Non-Compliant'!D224</f>
        <v/>
      </c>
      <c r="E268" s="40"/>
      <c r="F268" s="14"/>
      <c r="G268" s="266"/>
      <c r="H268" s="266"/>
      <c r="I268" s="6"/>
      <c r="J268" s="6"/>
      <c r="K268" s="6"/>
      <c r="L268" s="6"/>
      <c r="M268" s="6"/>
      <c r="N268" s="6"/>
      <c r="O268" s="6"/>
      <c r="P268" s="6"/>
      <c r="Q268" s="6"/>
      <c r="R268" s="6"/>
      <c r="S268" s="6"/>
      <c r="T268" s="6"/>
      <c r="U268" s="6"/>
      <c r="V268" s="6"/>
      <c r="W268" s="6"/>
      <c r="X268" s="6"/>
      <c r="Y268" s="6"/>
      <c r="Z268" s="6"/>
    </row>
    <row r="269" ht="58.5" customHeight="1">
      <c r="A269" s="274" t="str">
        <f>'High Risk Non-Compliant'!B225</f>
        <v/>
      </c>
      <c r="B269" s="275" t="str">
        <f>'High Risk Non-Compliant'!C225</f>
        <v/>
      </c>
      <c r="C269" s="14"/>
      <c r="D269" s="275" t="str">
        <f>'High Risk Non-Compliant'!D225</f>
        <v/>
      </c>
      <c r="E269" s="40"/>
      <c r="F269" s="14"/>
      <c r="G269" s="266"/>
      <c r="H269" s="266"/>
      <c r="I269" s="6"/>
      <c r="J269" s="6"/>
      <c r="K269" s="6"/>
      <c r="L269" s="6"/>
      <c r="M269" s="6"/>
      <c r="N269" s="6"/>
      <c r="O269" s="6"/>
      <c r="P269" s="6"/>
      <c r="Q269" s="6"/>
      <c r="R269" s="6"/>
      <c r="S269" s="6"/>
      <c r="T269" s="6"/>
      <c r="U269" s="6"/>
      <c r="V269" s="6"/>
      <c r="W269" s="6"/>
      <c r="X269" s="6"/>
      <c r="Y269" s="6"/>
      <c r="Z269" s="6"/>
    </row>
    <row r="270" ht="58.5" customHeight="1">
      <c r="A270" s="274" t="str">
        <f>'High Risk Non-Compliant'!B226</f>
        <v/>
      </c>
      <c r="B270" s="275" t="str">
        <f>'High Risk Non-Compliant'!C226</f>
        <v/>
      </c>
      <c r="C270" s="14"/>
      <c r="D270" s="275" t="str">
        <f>'High Risk Non-Compliant'!D226</f>
        <v/>
      </c>
      <c r="E270" s="40"/>
      <c r="F270" s="14"/>
      <c r="G270" s="266"/>
      <c r="H270" s="266"/>
      <c r="I270" s="6"/>
      <c r="J270" s="6"/>
      <c r="K270" s="6"/>
      <c r="L270" s="6"/>
      <c r="M270" s="6"/>
      <c r="N270" s="6"/>
      <c r="O270" s="6"/>
      <c r="P270" s="6"/>
      <c r="Q270" s="6"/>
      <c r="R270" s="6"/>
      <c r="S270" s="6"/>
      <c r="T270" s="6"/>
      <c r="U270" s="6"/>
      <c r="V270" s="6"/>
      <c r="W270" s="6"/>
      <c r="X270" s="6"/>
      <c r="Y270" s="6"/>
      <c r="Z270" s="6"/>
    </row>
    <row r="271" ht="58.5" customHeight="1">
      <c r="A271" s="274" t="str">
        <f>'High Risk Non-Compliant'!B227</f>
        <v/>
      </c>
      <c r="B271" s="275" t="str">
        <f>'High Risk Non-Compliant'!C227</f>
        <v/>
      </c>
      <c r="C271" s="14"/>
      <c r="D271" s="275" t="str">
        <f>'High Risk Non-Compliant'!D227</f>
        <v/>
      </c>
      <c r="E271" s="40"/>
      <c r="F271" s="14"/>
      <c r="G271" s="266"/>
      <c r="H271" s="266"/>
      <c r="I271" s="6"/>
      <c r="J271" s="6"/>
      <c r="K271" s="6"/>
      <c r="L271" s="6"/>
      <c r="M271" s="6"/>
      <c r="N271" s="6"/>
      <c r="O271" s="6"/>
      <c r="P271" s="6"/>
      <c r="Q271" s="6"/>
      <c r="R271" s="6"/>
      <c r="S271" s="6"/>
      <c r="T271" s="6"/>
      <c r="U271" s="6"/>
      <c r="V271" s="6"/>
      <c r="W271" s="6"/>
      <c r="X271" s="6"/>
      <c r="Y271" s="6"/>
      <c r="Z271" s="6"/>
    </row>
    <row r="272" ht="18.0" customHeight="1">
      <c r="A272" s="274" t="str">
        <f>'High Risk Non-Compliant'!B228</f>
        <v/>
      </c>
      <c r="B272" s="275" t="str">
        <f>'High Risk Non-Compliant'!C228</f>
        <v/>
      </c>
      <c r="C272" s="14"/>
      <c r="D272" s="275" t="str">
        <f>'High Risk Non-Compliant'!D228</f>
        <v/>
      </c>
      <c r="E272" s="40"/>
      <c r="F272" s="14"/>
      <c r="G272" s="266"/>
      <c r="H272" s="266"/>
      <c r="I272" s="6"/>
      <c r="J272" s="6"/>
      <c r="K272" s="6"/>
      <c r="L272" s="6"/>
      <c r="M272" s="6"/>
      <c r="N272" s="6"/>
      <c r="O272" s="6"/>
      <c r="P272" s="6"/>
      <c r="Q272" s="6"/>
      <c r="R272" s="6"/>
      <c r="S272" s="6"/>
      <c r="T272" s="6"/>
      <c r="U272" s="6"/>
      <c r="V272" s="6"/>
      <c r="W272" s="6"/>
      <c r="X272" s="6"/>
      <c r="Y272" s="6"/>
      <c r="Z272" s="6"/>
    </row>
    <row r="273" ht="18.0" customHeight="1">
      <c r="A273" s="274" t="str">
        <f>'High Risk Non-Compliant'!B229</f>
        <v/>
      </c>
      <c r="B273" s="275" t="str">
        <f>'High Risk Non-Compliant'!C229</f>
        <v/>
      </c>
      <c r="C273" s="14"/>
      <c r="D273" s="275" t="str">
        <f>'High Risk Non-Compliant'!D229</f>
        <v/>
      </c>
      <c r="E273" s="40"/>
      <c r="F273" s="14"/>
      <c r="G273" s="266"/>
      <c r="H273" s="266"/>
      <c r="I273" s="6"/>
      <c r="J273" s="6"/>
      <c r="K273" s="6"/>
      <c r="L273" s="6"/>
      <c r="M273" s="6"/>
      <c r="N273" s="6"/>
      <c r="O273" s="6"/>
      <c r="P273" s="6"/>
      <c r="Q273" s="6"/>
      <c r="R273" s="6"/>
      <c r="S273" s="6"/>
      <c r="T273" s="6"/>
      <c r="U273" s="6"/>
      <c r="V273" s="6"/>
      <c r="W273" s="6"/>
      <c r="X273" s="6"/>
      <c r="Y273" s="6"/>
      <c r="Z273" s="6"/>
    </row>
    <row r="274" ht="18.0" customHeight="1">
      <c r="A274" s="274" t="str">
        <f>'High Risk Non-Compliant'!B230</f>
        <v/>
      </c>
      <c r="B274" s="275" t="str">
        <f>'High Risk Non-Compliant'!C230</f>
        <v/>
      </c>
      <c r="C274" s="14"/>
      <c r="D274" s="275" t="str">
        <f>'High Risk Non-Compliant'!D230</f>
        <v/>
      </c>
      <c r="E274" s="40"/>
      <c r="F274" s="14"/>
      <c r="G274" s="266"/>
      <c r="H274" s="266"/>
      <c r="I274" s="6"/>
      <c r="J274" s="6"/>
      <c r="K274" s="6"/>
      <c r="L274" s="6"/>
      <c r="M274" s="6"/>
      <c r="N274" s="6"/>
      <c r="O274" s="6"/>
      <c r="P274" s="6"/>
      <c r="Q274" s="6"/>
      <c r="R274" s="6"/>
      <c r="S274" s="6"/>
      <c r="T274" s="6"/>
      <c r="U274" s="6"/>
      <c r="V274" s="6"/>
      <c r="W274" s="6"/>
      <c r="X274" s="6"/>
      <c r="Y274" s="6"/>
      <c r="Z274" s="6"/>
    </row>
    <row r="275" ht="43.5" customHeight="1">
      <c r="A275" s="274" t="str">
        <f>'High Risk Non-Compliant'!B231</f>
        <v/>
      </c>
      <c r="B275" s="275" t="str">
        <f>'High Risk Non-Compliant'!C231</f>
        <v/>
      </c>
      <c r="C275" s="14"/>
      <c r="D275" s="275" t="str">
        <f>'High Risk Non-Compliant'!D231</f>
        <v/>
      </c>
      <c r="E275" s="40"/>
      <c r="F275" s="14"/>
      <c r="G275" s="266"/>
      <c r="H275" s="266"/>
      <c r="I275" s="6"/>
      <c r="J275" s="6"/>
      <c r="K275" s="6"/>
      <c r="L275" s="6"/>
      <c r="M275" s="6"/>
      <c r="N275" s="6"/>
      <c r="O275" s="6"/>
      <c r="P275" s="6"/>
      <c r="Q275" s="6"/>
      <c r="R275" s="6"/>
      <c r="S275" s="6"/>
      <c r="T275" s="6"/>
      <c r="U275" s="6"/>
      <c r="V275" s="6"/>
      <c r="W275" s="6"/>
      <c r="X275" s="6"/>
      <c r="Y275" s="6"/>
      <c r="Z275" s="6"/>
    </row>
    <row r="276" ht="43.5" customHeight="1">
      <c r="A276" s="274" t="str">
        <f>'High Risk Non-Compliant'!B232</f>
        <v/>
      </c>
      <c r="B276" s="275" t="str">
        <f>'High Risk Non-Compliant'!C232</f>
        <v/>
      </c>
      <c r="C276" s="14"/>
      <c r="D276" s="275" t="str">
        <f>'High Risk Non-Compliant'!D232</f>
        <v/>
      </c>
      <c r="E276" s="40"/>
      <c r="F276" s="14"/>
      <c r="G276" s="266"/>
      <c r="H276" s="266"/>
      <c r="I276" s="6"/>
      <c r="J276" s="6"/>
      <c r="K276" s="6"/>
      <c r="L276" s="6"/>
      <c r="M276" s="6"/>
      <c r="N276" s="6"/>
      <c r="O276" s="6"/>
      <c r="P276" s="6"/>
      <c r="Q276" s="6"/>
      <c r="R276" s="6"/>
      <c r="S276" s="6"/>
      <c r="T276" s="6"/>
      <c r="U276" s="6"/>
      <c r="V276" s="6"/>
      <c r="W276" s="6"/>
      <c r="X276" s="6"/>
      <c r="Y276" s="6"/>
      <c r="Z276" s="6"/>
    </row>
    <row r="277" ht="43.5" customHeight="1">
      <c r="A277" s="274" t="str">
        <f>'High Risk Non-Compliant'!B233</f>
        <v/>
      </c>
      <c r="B277" s="275" t="str">
        <f>'High Risk Non-Compliant'!C233</f>
        <v/>
      </c>
      <c r="C277" s="14"/>
      <c r="D277" s="275" t="str">
        <f>'High Risk Non-Compliant'!D233</f>
        <v/>
      </c>
      <c r="E277" s="40"/>
      <c r="F277" s="14"/>
      <c r="G277" s="266"/>
      <c r="H277" s="266"/>
      <c r="I277" s="6"/>
      <c r="J277" s="6"/>
      <c r="K277" s="6"/>
      <c r="L277" s="6"/>
      <c r="M277" s="6"/>
      <c r="N277" s="6"/>
      <c r="O277" s="6"/>
      <c r="P277" s="6"/>
      <c r="Q277" s="6"/>
      <c r="R277" s="6"/>
      <c r="S277" s="6"/>
      <c r="T277" s="6"/>
      <c r="U277" s="6"/>
      <c r="V277" s="6"/>
      <c r="W277" s="6"/>
      <c r="X277" s="6"/>
      <c r="Y277" s="6"/>
      <c r="Z277" s="6"/>
    </row>
    <row r="278" ht="43.5" customHeight="1">
      <c r="A278" s="274" t="str">
        <f>'High Risk Non-Compliant'!B234</f>
        <v/>
      </c>
      <c r="B278" s="275" t="str">
        <f>'High Risk Non-Compliant'!C234</f>
        <v/>
      </c>
      <c r="C278" s="14"/>
      <c r="D278" s="275" t="str">
        <f>'High Risk Non-Compliant'!D234</f>
        <v/>
      </c>
      <c r="E278" s="40"/>
      <c r="F278" s="14"/>
      <c r="G278" s="266"/>
      <c r="H278" s="266"/>
      <c r="I278" s="6"/>
      <c r="J278" s="6"/>
      <c r="K278" s="6"/>
      <c r="L278" s="6"/>
      <c r="M278" s="6"/>
      <c r="N278" s="6"/>
      <c r="O278" s="6"/>
      <c r="P278" s="6"/>
      <c r="Q278" s="6"/>
      <c r="R278" s="6"/>
      <c r="S278" s="6"/>
      <c r="T278" s="6"/>
      <c r="U278" s="6"/>
      <c r="V278" s="6"/>
      <c r="W278" s="6"/>
      <c r="X278" s="6"/>
      <c r="Y278" s="6"/>
      <c r="Z278" s="6"/>
    </row>
    <row r="279" ht="43.5" customHeight="1">
      <c r="A279" s="274" t="str">
        <f>'High Risk Non-Compliant'!B235</f>
        <v/>
      </c>
      <c r="B279" s="275" t="str">
        <f>'High Risk Non-Compliant'!C235</f>
        <v/>
      </c>
      <c r="C279" s="14"/>
      <c r="D279" s="275" t="str">
        <f>'High Risk Non-Compliant'!D235</f>
        <v/>
      </c>
      <c r="E279" s="40"/>
      <c r="F279" s="14"/>
      <c r="G279" s="266"/>
      <c r="H279" s="266"/>
      <c r="I279" s="6"/>
      <c r="J279" s="6"/>
      <c r="K279" s="6"/>
      <c r="L279" s="6"/>
      <c r="M279" s="6"/>
      <c r="N279" s="6"/>
      <c r="O279" s="6"/>
      <c r="P279" s="6"/>
      <c r="Q279" s="6"/>
      <c r="R279" s="6"/>
      <c r="S279" s="6"/>
      <c r="T279" s="6"/>
      <c r="U279" s="6"/>
      <c r="V279" s="6"/>
      <c r="W279" s="6"/>
      <c r="X279" s="6"/>
      <c r="Y279" s="6"/>
      <c r="Z279" s="6"/>
    </row>
    <row r="280" ht="43.5" customHeight="1">
      <c r="A280" s="274" t="str">
        <f>'High Risk Non-Compliant'!B236</f>
        <v/>
      </c>
      <c r="B280" s="275" t="str">
        <f>'High Risk Non-Compliant'!C236</f>
        <v/>
      </c>
      <c r="C280" s="14"/>
      <c r="D280" s="275" t="str">
        <f>'High Risk Non-Compliant'!D236</f>
        <v/>
      </c>
      <c r="E280" s="40"/>
      <c r="F280" s="14"/>
      <c r="G280" s="266"/>
      <c r="H280" s="266"/>
      <c r="I280" s="6"/>
      <c r="J280" s="6"/>
      <c r="K280" s="6"/>
      <c r="L280" s="6"/>
      <c r="M280" s="6"/>
      <c r="N280" s="6"/>
      <c r="O280" s="6"/>
      <c r="P280" s="6"/>
      <c r="Q280" s="6"/>
      <c r="R280" s="6"/>
      <c r="S280" s="6"/>
      <c r="T280" s="6"/>
      <c r="U280" s="6"/>
      <c r="V280" s="6"/>
      <c r="W280" s="6"/>
      <c r="X280" s="6"/>
      <c r="Y280" s="6"/>
      <c r="Z280" s="6"/>
    </row>
    <row r="281" ht="43.5" customHeight="1">
      <c r="A281" s="274" t="str">
        <f>'High Risk Non-Compliant'!B237</f>
        <v/>
      </c>
      <c r="B281" s="275" t="str">
        <f>'High Risk Non-Compliant'!C237</f>
        <v/>
      </c>
      <c r="C281" s="14"/>
      <c r="D281" s="275" t="str">
        <f>'High Risk Non-Compliant'!D237</f>
        <v/>
      </c>
      <c r="E281" s="40"/>
      <c r="F281" s="14"/>
      <c r="G281" s="266"/>
      <c r="H281" s="266"/>
      <c r="I281" s="6"/>
      <c r="J281" s="6"/>
      <c r="K281" s="6"/>
      <c r="L281" s="6"/>
      <c r="M281" s="6"/>
      <c r="N281" s="6"/>
      <c r="O281" s="6"/>
      <c r="P281" s="6"/>
      <c r="Q281" s="6"/>
      <c r="R281" s="6"/>
      <c r="S281" s="6"/>
      <c r="T281" s="6"/>
      <c r="U281" s="6"/>
      <c r="V281" s="6"/>
      <c r="W281" s="6"/>
      <c r="X281" s="6"/>
      <c r="Y281" s="6"/>
      <c r="Z281" s="6"/>
    </row>
    <row r="282" ht="29.25" customHeight="1">
      <c r="A282" s="274" t="str">
        <f>'High Risk Non-Compliant'!B238</f>
        <v/>
      </c>
      <c r="B282" s="275" t="str">
        <f>'High Risk Non-Compliant'!C238</f>
        <v/>
      </c>
      <c r="C282" s="14"/>
      <c r="D282" s="275" t="str">
        <f>'High Risk Non-Compliant'!D238</f>
        <v/>
      </c>
      <c r="E282" s="40"/>
      <c r="F282" s="14"/>
      <c r="G282" s="266"/>
      <c r="H282" s="266"/>
      <c r="I282" s="6"/>
      <c r="J282" s="6"/>
      <c r="K282" s="6"/>
      <c r="L282" s="6"/>
      <c r="M282" s="6"/>
      <c r="N282" s="6"/>
      <c r="O282" s="6"/>
      <c r="P282" s="6"/>
      <c r="Q282" s="6"/>
      <c r="R282" s="6"/>
      <c r="S282" s="6"/>
      <c r="T282" s="6"/>
      <c r="U282" s="6"/>
      <c r="V282" s="6"/>
      <c r="W282" s="6"/>
      <c r="X282" s="6"/>
      <c r="Y282" s="6"/>
      <c r="Z282" s="6"/>
    </row>
    <row r="283" ht="29.25" customHeight="1">
      <c r="A283" s="274" t="str">
        <f>'High Risk Non-Compliant'!B239</f>
        <v/>
      </c>
      <c r="B283" s="275" t="str">
        <f>'High Risk Non-Compliant'!C239</f>
        <v/>
      </c>
      <c r="C283" s="14"/>
      <c r="D283" s="275" t="str">
        <f>'High Risk Non-Compliant'!D239</f>
        <v/>
      </c>
      <c r="E283" s="40"/>
      <c r="F283" s="14"/>
      <c r="G283" s="266"/>
      <c r="H283" s="266"/>
      <c r="I283" s="6"/>
      <c r="J283" s="6"/>
      <c r="K283" s="6"/>
      <c r="L283" s="6"/>
      <c r="M283" s="6"/>
      <c r="N283" s="6"/>
      <c r="O283" s="6"/>
      <c r="P283" s="6"/>
      <c r="Q283" s="6"/>
      <c r="R283" s="6"/>
      <c r="S283" s="6"/>
      <c r="T283" s="6"/>
      <c r="U283" s="6"/>
      <c r="V283" s="6"/>
      <c r="W283" s="6"/>
      <c r="X283" s="6"/>
      <c r="Y283" s="6"/>
      <c r="Z283" s="6"/>
    </row>
    <row r="284" ht="29.25" customHeight="1">
      <c r="A284" s="274" t="str">
        <f>'High Risk Non-Compliant'!B240</f>
        <v/>
      </c>
      <c r="B284" s="275" t="str">
        <f>'High Risk Non-Compliant'!C240</f>
        <v/>
      </c>
      <c r="C284" s="14"/>
      <c r="D284" s="275" t="str">
        <f>'High Risk Non-Compliant'!D240</f>
        <v/>
      </c>
      <c r="E284" s="40"/>
      <c r="F284" s="14"/>
      <c r="G284" s="266"/>
      <c r="H284" s="266"/>
      <c r="I284" s="6"/>
      <c r="J284" s="6"/>
      <c r="K284" s="6"/>
      <c r="L284" s="6"/>
      <c r="M284" s="6"/>
      <c r="N284" s="6"/>
      <c r="O284" s="6"/>
      <c r="P284" s="6"/>
      <c r="Q284" s="6"/>
      <c r="R284" s="6"/>
      <c r="S284" s="6"/>
      <c r="T284" s="6"/>
      <c r="U284" s="6"/>
      <c r="V284" s="6"/>
      <c r="W284" s="6"/>
      <c r="X284" s="6"/>
      <c r="Y284" s="6"/>
      <c r="Z284" s="6"/>
    </row>
    <row r="285" ht="18.0" customHeight="1">
      <c r="A285" s="274" t="str">
        <f>'High Risk Non-Compliant'!B241</f>
        <v/>
      </c>
      <c r="B285" s="275" t="str">
        <f>'High Risk Non-Compliant'!C241</f>
        <v/>
      </c>
      <c r="C285" s="14"/>
      <c r="D285" s="275" t="str">
        <f>'High Risk Non-Compliant'!D241</f>
        <v/>
      </c>
      <c r="E285" s="40"/>
      <c r="F285" s="14"/>
      <c r="G285" s="266"/>
      <c r="H285" s="266"/>
      <c r="I285" s="6"/>
      <c r="J285" s="6"/>
      <c r="K285" s="6"/>
      <c r="L285" s="6"/>
      <c r="M285" s="6"/>
      <c r="N285" s="6"/>
      <c r="O285" s="6"/>
      <c r="P285" s="6"/>
      <c r="Q285" s="6"/>
      <c r="R285" s="6"/>
      <c r="S285" s="6"/>
      <c r="T285" s="6"/>
      <c r="U285" s="6"/>
      <c r="V285" s="6"/>
      <c r="W285" s="6"/>
      <c r="X285" s="6"/>
      <c r="Y285" s="6"/>
      <c r="Z285" s="6"/>
    </row>
    <row r="286" ht="18.0" customHeight="1">
      <c r="A286" s="274" t="str">
        <f>'High Risk Non-Compliant'!B242</f>
        <v/>
      </c>
      <c r="B286" s="275" t="str">
        <f>'High Risk Non-Compliant'!C242</f>
        <v/>
      </c>
      <c r="C286" s="14"/>
      <c r="D286" s="275" t="str">
        <f>'High Risk Non-Compliant'!D242</f>
        <v/>
      </c>
      <c r="E286" s="40"/>
      <c r="F286" s="14"/>
      <c r="G286" s="266"/>
      <c r="H286" s="266"/>
      <c r="I286" s="6"/>
      <c r="J286" s="6"/>
      <c r="K286" s="6"/>
      <c r="L286" s="6"/>
      <c r="M286" s="6"/>
      <c r="N286" s="6"/>
      <c r="O286" s="6"/>
      <c r="P286" s="6"/>
      <c r="Q286" s="6"/>
      <c r="R286" s="6"/>
      <c r="S286" s="6"/>
      <c r="T286" s="6"/>
      <c r="U286" s="6"/>
      <c r="V286" s="6"/>
      <c r="W286" s="6"/>
      <c r="X286" s="6"/>
      <c r="Y286" s="6"/>
      <c r="Z286" s="6"/>
    </row>
    <row r="287" ht="43.5" customHeight="1">
      <c r="A287" s="274" t="str">
        <f>'High Risk Non-Compliant'!B243</f>
        <v/>
      </c>
      <c r="B287" s="275" t="str">
        <f>'High Risk Non-Compliant'!C243</f>
        <v/>
      </c>
      <c r="C287" s="14"/>
      <c r="D287" s="275" t="str">
        <f>'High Risk Non-Compliant'!D243</f>
        <v/>
      </c>
      <c r="E287" s="40"/>
      <c r="F287" s="14"/>
      <c r="G287" s="266"/>
      <c r="H287" s="266"/>
      <c r="I287" s="6"/>
      <c r="J287" s="6"/>
      <c r="K287" s="6"/>
      <c r="L287" s="6"/>
      <c r="M287" s="6"/>
      <c r="N287" s="6"/>
      <c r="O287" s="6"/>
      <c r="P287" s="6"/>
      <c r="Q287" s="6"/>
      <c r="R287" s="6"/>
      <c r="S287" s="6"/>
      <c r="T287" s="6"/>
      <c r="U287" s="6"/>
      <c r="V287" s="6"/>
      <c r="W287" s="6"/>
      <c r="X287" s="6"/>
      <c r="Y287" s="6"/>
      <c r="Z287" s="6"/>
    </row>
    <row r="288" ht="43.5" customHeight="1">
      <c r="A288" s="274" t="str">
        <f>'High Risk Non-Compliant'!B244</f>
        <v/>
      </c>
      <c r="B288" s="275" t="str">
        <f>'High Risk Non-Compliant'!C244</f>
        <v/>
      </c>
      <c r="C288" s="14"/>
      <c r="D288" s="275" t="str">
        <f>'High Risk Non-Compliant'!D244</f>
        <v/>
      </c>
      <c r="E288" s="40"/>
      <c r="F288" s="14"/>
      <c r="G288" s="266"/>
      <c r="H288" s="266"/>
      <c r="I288" s="6"/>
      <c r="J288" s="6"/>
      <c r="K288" s="6"/>
      <c r="L288" s="6"/>
      <c r="M288" s="6"/>
      <c r="N288" s="6"/>
      <c r="O288" s="6"/>
      <c r="P288" s="6"/>
      <c r="Q288" s="6"/>
      <c r="R288" s="6"/>
      <c r="S288" s="6"/>
      <c r="T288" s="6"/>
      <c r="U288" s="6"/>
      <c r="V288" s="6"/>
      <c r="W288" s="6"/>
      <c r="X288" s="6"/>
      <c r="Y288" s="6"/>
      <c r="Z288" s="6"/>
    </row>
    <row r="289" ht="87.75" customHeight="1">
      <c r="A289" s="274" t="str">
        <f>'High Risk Non-Compliant'!B245</f>
        <v/>
      </c>
      <c r="B289" s="275" t="str">
        <f>'High Risk Non-Compliant'!C245</f>
        <v/>
      </c>
      <c r="C289" s="14"/>
      <c r="D289" s="275" t="str">
        <f>'High Risk Non-Compliant'!D245</f>
        <v/>
      </c>
      <c r="E289" s="40"/>
      <c r="F289" s="14"/>
      <c r="G289" s="266"/>
      <c r="H289" s="266"/>
      <c r="I289" s="6"/>
      <c r="J289" s="6"/>
      <c r="K289" s="6"/>
      <c r="L289" s="6"/>
      <c r="M289" s="6"/>
      <c r="N289" s="6"/>
      <c r="O289" s="6"/>
      <c r="P289" s="6"/>
      <c r="Q289" s="6"/>
      <c r="R289" s="6"/>
      <c r="S289" s="6"/>
      <c r="T289" s="6"/>
      <c r="U289" s="6"/>
      <c r="V289" s="6"/>
      <c r="W289" s="6"/>
      <c r="X289" s="6"/>
      <c r="Y289" s="6"/>
      <c r="Z289" s="6"/>
    </row>
    <row r="290" ht="72.75" customHeight="1">
      <c r="A290" s="274" t="str">
        <f>'High Risk Non-Compliant'!B246</f>
        <v/>
      </c>
      <c r="B290" s="275" t="str">
        <f>'High Risk Non-Compliant'!C246</f>
        <v/>
      </c>
      <c r="C290" s="14"/>
      <c r="D290" s="275" t="str">
        <f>'High Risk Non-Compliant'!D246</f>
        <v/>
      </c>
      <c r="E290" s="40"/>
      <c r="F290" s="14"/>
      <c r="G290" s="266"/>
      <c r="H290" s="266"/>
      <c r="I290" s="6"/>
      <c r="J290" s="6"/>
      <c r="K290" s="6"/>
      <c r="L290" s="6"/>
      <c r="M290" s="6"/>
      <c r="N290" s="6"/>
      <c r="O290" s="6"/>
      <c r="P290" s="6"/>
      <c r="Q290" s="6"/>
      <c r="R290" s="6"/>
      <c r="S290" s="6"/>
      <c r="T290" s="6"/>
      <c r="U290" s="6"/>
      <c r="V290" s="6"/>
      <c r="W290" s="6"/>
      <c r="X290" s="6"/>
      <c r="Y290" s="6"/>
      <c r="Z290" s="6"/>
    </row>
    <row r="291" ht="72.75" customHeight="1">
      <c r="A291" s="274" t="str">
        <f>'High Risk Non-Compliant'!B247</f>
        <v/>
      </c>
      <c r="B291" s="275" t="str">
        <f>'High Risk Non-Compliant'!C247</f>
        <v/>
      </c>
      <c r="C291" s="14"/>
      <c r="D291" s="275" t="str">
        <f>'High Risk Non-Compliant'!D247</f>
        <v/>
      </c>
      <c r="E291" s="40"/>
      <c r="F291" s="14"/>
      <c r="G291" s="266"/>
      <c r="H291" s="266"/>
      <c r="I291" s="6"/>
      <c r="J291" s="6"/>
      <c r="K291" s="6"/>
      <c r="L291" s="6"/>
      <c r="M291" s="6"/>
      <c r="N291" s="6"/>
      <c r="O291" s="6"/>
      <c r="P291" s="6"/>
      <c r="Q291" s="6"/>
      <c r="R291" s="6"/>
      <c r="S291" s="6"/>
      <c r="T291" s="6"/>
      <c r="U291" s="6"/>
      <c r="V291" s="6"/>
      <c r="W291" s="6"/>
      <c r="X291" s="6"/>
      <c r="Y291" s="6"/>
      <c r="Z291" s="6"/>
    </row>
    <row r="292" ht="43.5" customHeight="1">
      <c r="A292" s="274" t="str">
        <f>'High Risk Non-Compliant'!B248</f>
        <v/>
      </c>
      <c r="B292" s="275" t="str">
        <f>'High Risk Non-Compliant'!C248</f>
        <v/>
      </c>
      <c r="C292" s="14"/>
      <c r="D292" s="275" t="str">
        <f>'High Risk Non-Compliant'!D248</f>
        <v/>
      </c>
      <c r="E292" s="40"/>
      <c r="F292" s="14"/>
      <c r="G292" s="266"/>
      <c r="H292" s="266"/>
      <c r="I292" s="6"/>
      <c r="J292" s="6"/>
      <c r="K292" s="6"/>
      <c r="L292" s="6"/>
      <c r="M292" s="6"/>
      <c r="N292" s="6"/>
      <c r="O292" s="6"/>
      <c r="P292" s="6"/>
      <c r="Q292" s="6"/>
      <c r="R292" s="6"/>
      <c r="S292" s="6"/>
      <c r="T292" s="6"/>
      <c r="U292" s="6"/>
      <c r="V292" s="6"/>
      <c r="W292" s="6"/>
      <c r="X292" s="6"/>
      <c r="Y292" s="6"/>
      <c r="Z292" s="6"/>
    </row>
    <row r="293" ht="29.25" customHeight="1">
      <c r="A293" s="274" t="str">
        <f>'High Risk Non-Compliant'!B249</f>
        <v/>
      </c>
      <c r="B293" s="275" t="str">
        <f>'High Risk Non-Compliant'!C249</f>
        <v/>
      </c>
      <c r="C293" s="14"/>
      <c r="D293" s="275" t="str">
        <f>'High Risk Non-Compliant'!D249</f>
        <v/>
      </c>
      <c r="E293" s="40"/>
      <c r="F293" s="14"/>
      <c r="G293" s="266"/>
      <c r="H293" s="266"/>
      <c r="I293" s="6"/>
      <c r="J293" s="6"/>
      <c r="K293" s="6"/>
      <c r="L293" s="6"/>
      <c r="M293" s="6"/>
      <c r="N293" s="6"/>
      <c r="O293" s="6"/>
      <c r="P293" s="6"/>
      <c r="Q293" s="6"/>
      <c r="R293" s="6"/>
      <c r="S293" s="6"/>
      <c r="T293" s="6"/>
      <c r="U293" s="6"/>
      <c r="V293" s="6"/>
      <c r="W293" s="6"/>
      <c r="X293" s="6"/>
      <c r="Y293" s="6"/>
      <c r="Z293" s="6"/>
    </row>
    <row r="294" ht="29.25" customHeight="1">
      <c r="A294" s="274" t="str">
        <f>'High Risk Non-Compliant'!B250</f>
        <v/>
      </c>
      <c r="B294" s="275" t="str">
        <f>'High Risk Non-Compliant'!C250</f>
        <v/>
      </c>
      <c r="C294" s="14"/>
      <c r="D294" s="275" t="str">
        <f>'High Risk Non-Compliant'!D250</f>
        <v/>
      </c>
      <c r="E294" s="40"/>
      <c r="F294" s="14"/>
      <c r="G294" s="266"/>
      <c r="H294" s="266"/>
      <c r="I294" s="6"/>
      <c r="J294" s="6"/>
      <c r="K294" s="6"/>
      <c r="L294" s="6"/>
      <c r="M294" s="6"/>
      <c r="N294" s="6"/>
      <c r="O294" s="6"/>
      <c r="P294" s="6"/>
      <c r="Q294" s="6"/>
      <c r="R294" s="6"/>
      <c r="S294" s="6"/>
      <c r="T294" s="6"/>
      <c r="U294" s="6"/>
      <c r="V294" s="6"/>
      <c r="W294" s="6"/>
      <c r="X294" s="6"/>
      <c r="Y294" s="6"/>
      <c r="Z294" s="6"/>
    </row>
    <row r="295" ht="29.25" customHeight="1">
      <c r="A295" s="274" t="str">
        <f>'High Risk Non-Compliant'!B251</f>
        <v/>
      </c>
      <c r="B295" s="275" t="str">
        <f>'High Risk Non-Compliant'!C251</f>
        <v/>
      </c>
      <c r="C295" s="14"/>
      <c r="D295" s="275" t="str">
        <f>'High Risk Non-Compliant'!D251</f>
        <v/>
      </c>
      <c r="E295" s="40"/>
      <c r="F295" s="14"/>
      <c r="G295" s="266"/>
      <c r="H295" s="266"/>
      <c r="I295" s="6"/>
      <c r="J295" s="6"/>
      <c r="K295" s="6"/>
      <c r="L295" s="6"/>
      <c r="M295" s="6"/>
      <c r="N295" s="6"/>
      <c r="O295" s="6"/>
      <c r="P295" s="6"/>
      <c r="Q295" s="6"/>
      <c r="R295" s="6"/>
      <c r="S295" s="6"/>
      <c r="T295" s="6"/>
      <c r="U295" s="6"/>
      <c r="V295" s="6"/>
      <c r="W295" s="6"/>
      <c r="X295" s="6"/>
      <c r="Y295" s="6"/>
      <c r="Z295" s="6"/>
    </row>
    <row r="296" ht="43.5" customHeight="1">
      <c r="A296" s="274" t="str">
        <f>'High Risk Non-Compliant'!B252</f>
        <v/>
      </c>
      <c r="B296" s="275" t="str">
        <f>'High Risk Non-Compliant'!C252</f>
        <v/>
      </c>
      <c r="C296" s="14"/>
      <c r="D296" s="275" t="str">
        <f>'High Risk Non-Compliant'!D252</f>
        <v/>
      </c>
      <c r="E296" s="40"/>
      <c r="F296" s="14"/>
      <c r="G296" s="266"/>
      <c r="H296" s="266"/>
      <c r="I296" s="6"/>
      <c r="J296" s="6"/>
      <c r="K296" s="6"/>
      <c r="L296" s="6"/>
      <c r="M296" s="6"/>
      <c r="N296" s="6"/>
      <c r="O296" s="6"/>
      <c r="P296" s="6"/>
      <c r="Q296" s="6"/>
      <c r="R296" s="6"/>
      <c r="S296" s="6"/>
      <c r="T296" s="6"/>
      <c r="U296" s="6"/>
      <c r="V296" s="6"/>
      <c r="W296" s="6"/>
      <c r="X296" s="6"/>
      <c r="Y296" s="6"/>
      <c r="Z296" s="6"/>
    </row>
    <row r="297" ht="29.25" customHeight="1">
      <c r="A297" s="274" t="str">
        <f>'High Risk Non-Compliant'!B253</f>
        <v/>
      </c>
      <c r="B297" s="275" t="str">
        <f>'High Risk Non-Compliant'!C253</f>
        <v/>
      </c>
      <c r="C297" s="14"/>
      <c r="D297" s="275" t="str">
        <f>'High Risk Non-Compliant'!D253</f>
        <v/>
      </c>
      <c r="E297" s="40"/>
      <c r="F297" s="14"/>
      <c r="G297" s="266"/>
      <c r="H297" s="266"/>
      <c r="I297" s="6"/>
      <c r="J297" s="6"/>
      <c r="K297" s="6"/>
      <c r="L297" s="6"/>
      <c r="M297" s="6"/>
      <c r="N297" s="6"/>
      <c r="O297" s="6"/>
      <c r="P297" s="6"/>
      <c r="Q297" s="6"/>
      <c r="R297" s="6"/>
      <c r="S297" s="6"/>
      <c r="T297" s="6"/>
      <c r="U297" s="6"/>
      <c r="V297" s="6"/>
      <c r="W297" s="6"/>
      <c r="X297" s="6"/>
      <c r="Y297" s="6"/>
      <c r="Z297" s="6"/>
    </row>
    <row r="298" ht="72.75" customHeight="1">
      <c r="A298" s="274" t="str">
        <f>'High Risk Non-Compliant'!B254</f>
        <v/>
      </c>
      <c r="B298" s="275" t="str">
        <f>'High Risk Non-Compliant'!C254</f>
        <v/>
      </c>
      <c r="C298" s="14"/>
      <c r="D298" s="275" t="str">
        <f>'High Risk Non-Compliant'!D254</f>
        <v/>
      </c>
      <c r="E298" s="40"/>
      <c r="F298" s="14"/>
      <c r="G298" s="266"/>
      <c r="H298" s="266"/>
      <c r="I298" s="6"/>
      <c r="J298" s="6"/>
      <c r="K298" s="6"/>
      <c r="L298" s="6"/>
      <c r="M298" s="6"/>
      <c r="N298" s="6"/>
      <c r="O298" s="6"/>
      <c r="P298" s="6"/>
      <c r="Q298" s="6"/>
      <c r="R298" s="6"/>
      <c r="S298" s="6"/>
      <c r="T298" s="6"/>
      <c r="U298" s="6"/>
      <c r="V298" s="6"/>
      <c r="W298" s="6"/>
      <c r="X298" s="6"/>
      <c r="Y298" s="6"/>
      <c r="Z298" s="6"/>
    </row>
    <row r="299" ht="58.5" customHeight="1">
      <c r="A299" s="274" t="str">
        <f>'High Risk Non-Compliant'!B255</f>
        <v/>
      </c>
      <c r="B299" s="275" t="str">
        <f>'High Risk Non-Compliant'!C255</f>
        <v/>
      </c>
      <c r="C299" s="14"/>
      <c r="D299" s="275" t="str">
        <f>'High Risk Non-Compliant'!D255</f>
        <v/>
      </c>
      <c r="E299" s="40"/>
      <c r="F299" s="14"/>
      <c r="G299" s="266"/>
      <c r="H299" s="266"/>
      <c r="I299" s="6"/>
      <c r="J299" s="6"/>
      <c r="K299" s="6"/>
      <c r="L299" s="6"/>
      <c r="M299" s="6"/>
      <c r="N299" s="6"/>
      <c r="O299" s="6"/>
      <c r="P299" s="6"/>
      <c r="Q299" s="6"/>
      <c r="R299" s="6"/>
      <c r="S299" s="6"/>
      <c r="T299" s="6"/>
      <c r="U299" s="6"/>
      <c r="V299" s="6"/>
      <c r="W299" s="6"/>
      <c r="X299" s="6"/>
      <c r="Y299" s="6"/>
      <c r="Z299" s="6"/>
    </row>
    <row r="300" ht="72.75" customHeight="1">
      <c r="A300" s="274" t="str">
        <f>'High Risk Non-Compliant'!B256</f>
        <v/>
      </c>
      <c r="B300" s="275" t="str">
        <f>'High Risk Non-Compliant'!C256</f>
        <v/>
      </c>
      <c r="C300" s="14"/>
      <c r="D300" s="275" t="str">
        <f>'High Risk Non-Compliant'!D256</f>
        <v/>
      </c>
      <c r="E300" s="40"/>
      <c r="F300" s="14"/>
      <c r="G300" s="266"/>
      <c r="H300" s="266"/>
      <c r="I300" s="6"/>
      <c r="J300" s="6"/>
      <c r="K300" s="6"/>
      <c r="L300" s="6"/>
      <c r="M300" s="6"/>
      <c r="N300" s="6"/>
      <c r="O300" s="6"/>
      <c r="P300" s="6"/>
      <c r="Q300" s="6"/>
      <c r="R300" s="6"/>
      <c r="S300" s="6"/>
      <c r="T300" s="6"/>
      <c r="U300" s="6"/>
      <c r="V300" s="6"/>
      <c r="W300" s="6"/>
      <c r="X300" s="6"/>
      <c r="Y300" s="6"/>
      <c r="Z300" s="6"/>
    </row>
    <row r="301" ht="87.75" customHeight="1">
      <c r="A301" s="274" t="str">
        <f>'High Risk Non-Compliant'!B257</f>
        <v/>
      </c>
      <c r="B301" s="275" t="str">
        <f>'High Risk Non-Compliant'!C257</f>
        <v/>
      </c>
      <c r="C301" s="14"/>
      <c r="D301" s="275" t="str">
        <f>'High Risk Non-Compliant'!D257</f>
        <v/>
      </c>
      <c r="E301" s="40"/>
      <c r="F301" s="14"/>
      <c r="G301" s="266"/>
      <c r="H301" s="266"/>
      <c r="I301" s="6"/>
      <c r="J301" s="6"/>
      <c r="K301" s="6"/>
      <c r="L301" s="6"/>
      <c r="M301" s="6"/>
      <c r="N301" s="6"/>
      <c r="O301" s="6"/>
      <c r="P301" s="6"/>
      <c r="Q301" s="6"/>
      <c r="R301" s="6"/>
      <c r="S301" s="6"/>
      <c r="T301" s="6"/>
      <c r="U301" s="6"/>
      <c r="V301" s="6"/>
      <c r="W301" s="6"/>
      <c r="X301" s="6"/>
      <c r="Y301" s="6"/>
      <c r="Z301" s="6"/>
    </row>
    <row r="302" ht="29.25" customHeight="1">
      <c r="A302" s="274" t="str">
        <f>'High Risk Non-Compliant'!B258</f>
        <v/>
      </c>
      <c r="B302" s="275" t="str">
        <f>'High Risk Non-Compliant'!C258</f>
        <v/>
      </c>
      <c r="C302" s="14"/>
      <c r="D302" s="275" t="str">
        <f>'High Risk Non-Compliant'!D258</f>
        <v/>
      </c>
      <c r="E302" s="40"/>
      <c r="F302" s="14"/>
      <c r="G302" s="266"/>
      <c r="H302" s="266"/>
      <c r="I302" s="6"/>
      <c r="J302" s="6"/>
      <c r="K302" s="6"/>
      <c r="L302" s="6"/>
      <c r="M302" s="6"/>
      <c r="N302" s="6"/>
      <c r="O302" s="6"/>
      <c r="P302" s="6"/>
      <c r="Q302" s="6"/>
      <c r="R302" s="6"/>
      <c r="S302" s="6"/>
      <c r="T302" s="6"/>
      <c r="U302" s="6"/>
      <c r="V302" s="6"/>
      <c r="W302" s="6"/>
      <c r="X302" s="6"/>
      <c r="Y302" s="6"/>
      <c r="Z302" s="6"/>
    </row>
    <row r="303" ht="29.25" customHeight="1">
      <c r="A303" s="274" t="str">
        <f>'High Risk Non-Compliant'!B259</f>
        <v/>
      </c>
      <c r="B303" s="275" t="str">
        <f>'High Risk Non-Compliant'!C259</f>
        <v/>
      </c>
      <c r="C303" s="14"/>
      <c r="D303" s="275" t="str">
        <f>'High Risk Non-Compliant'!D259</f>
        <v/>
      </c>
      <c r="E303" s="40"/>
      <c r="F303" s="14"/>
      <c r="G303" s="266"/>
      <c r="H303" s="266"/>
      <c r="I303" s="6"/>
      <c r="J303" s="6"/>
      <c r="K303" s="6"/>
      <c r="L303" s="6"/>
      <c r="M303" s="6"/>
      <c r="N303" s="6"/>
      <c r="O303" s="6"/>
      <c r="P303" s="6"/>
      <c r="Q303" s="6"/>
      <c r="R303" s="6"/>
      <c r="S303" s="6"/>
      <c r="T303" s="6"/>
      <c r="U303" s="6"/>
      <c r="V303" s="6"/>
      <c r="W303" s="6"/>
      <c r="X303" s="6"/>
      <c r="Y303" s="6"/>
      <c r="Z303" s="6"/>
    </row>
    <row r="304" ht="29.25" customHeight="1">
      <c r="A304" s="274" t="str">
        <f>'High Risk Non-Compliant'!B260</f>
        <v/>
      </c>
      <c r="B304" s="275" t="str">
        <f>'High Risk Non-Compliant'!C260</f>
        <v/>
      </c>
      <c r="C304" s="14"/>
      <c r="D304" s="275" t="str">
        <f>'High Risk Non-Compliant'!D260</f>
        <v/>
      </c>
      <c r="E304" s="40"/>
      <c r="F304" s="14"/>
      <c r="G304" s="266"/>
      <c r="H304" s="266"/>
      <c r="I304" s="6"/>
      <c r="J304" s="6"/>
      <c r="K304" s="6"/>
      <c r="L304" s="6"/>
      <c r="M304" s="6"/>
      <c r="N304" s="6"/>
      <c r="O304" s="6"/>
      <c r="P304" s="6"/>
      <c r="Q304" s="6"/>
      <c r="R304" s="6"/>
      <c r="S304" s="6"/>
      <c r="T304" s="6"/>
      <c r="U304" s="6"/>
      <c r="V304" s="6"/>
      <c r="W304" s="6"/>
      <c r="X304" s="6"/>
      <c r="Y304" s="6"/>
      <c r="Z304" s="6"/>
    </row>
    <row r="305" ht="29.25" customHeight="1">
      <c r="A305" s="274" t="str">
        <f>'High Risk Non-Compliant'!B261</f>
        <v/>
      </c>
      <c r="B305" s="275" t="str">
        <f>'High Risk Non-Compliant'!C261</f>
        <v/>
      </c>
      <c r="C305" s="14"/>
      <c r="D305" s="275" t="str">
        <f>'High Risk Non-Compliant'!D261</f>
        <v/>
      </c>
      <c r="E305" s="40"/>
      <c r="F305" s="14"/>
      <c r="G305" s="266"/>
      <c r="H305" s="266"/>
      <c r="I305" s="6"/>
      <c r="J305" s="6"/>
      <c r="K305" s="6"/>
      <c r="L305" s="6"/>
      <c r="M305" s="6"/>
      <c r="N305" s="6"/>
      <c r="O305" s="6"/>
      <c r="P305" s="6"/>
      <c r="Q305" s="6"/>
      <c r="R305" s="6"/>
      <c r="S305" s="6"/>
      <c r="T305" s="6"/>
      <c r="U305" s="6"/>
      <c r="V305" s="6"/>
      <c r="W305" s="6"/>
      <c r="X305" s="6"/>
      <c r="Y305" s="6"/>
      <c r="Z305" s="6"/>
    </row>
    <row r="306" ht="29.25" customHeight="1">
      <c r="A306" s="274" t="str">
        <f>'High Risk Non-Compliant'!B262</f>
        <v/>
      </c>
      <c r="B306" s="275" t="str">
        <f>'High Risk Non-Compliant'!C262</f>
        <v/>
      </c>
      <c r="C306" s="14"/>
      <c r="D306" s="275" t="str">
        <f>'High Risk Non-Compliant'!D262</f>
        <v/>
      </c>
      <c r="E306" s="40"/>
      <c r="F306" s="14"/>
      <c r="G306" s="266"/>
      <c r="H306" s="266"/>
      <c r="I306" s="6"/>
      <c r="J306" s="6"/>
      <c r="K306" s="6"/>
      <c r="L306" s="6"/>
      <c r="M306" s="6"/>
      <c r="N306" s="6"/>
      <c r="O306" s="6"/>
      <c r="P306" s="6"/>
      <c r="Q306" s="6"/>
      <c r="R306" s="6"/>
      <c r="S306" s="6"/>
      <c r="T306" s="6"/>
      <c r="U306" s="6"/>
      <c r="V306" s="6"/>
      <c r="W306" s="6"/>
      <c r="X306" s="6"/>
      <c r="Y306" s="6"/>
      <c r="Z306" s="6"/>
    </row>
    <row r="307" ht="43.5" customHeight="1">
      <c r="A307" s="274" t="str">
        <f>'High Risk Non-Compliant'!B263</f>
        <v/>
      </c>
      <c r="B307" s="275" t="str">
        <f>'High Risk Non-Compliant'!C263</f>
        <v/>
      </c>
      <c r="C307" s="14"/>
      <c r="D307" s="275" t="str">
        <f>'High Risk Non-Compliant'!D263</f>
        <v/>
      </c>
      <c r="E307" s="40"/>
      <c r="F307" s="14"/>
      <c r="G307" s="266"/>
      <c r="H307" s="266"/>
      <c r="I307" s="6"/>
      <c r="J307" s="6"/>
      <c r="K307" s="6"/>
      <c r="L307" s="6"/>
      <c r="M307" s="6"/>
      <c r="N307" s="6"/>
      <c r="O307" s="6"/>
      <c r="P307" s="6"/>
      <c r="Q307" s="6"/>
      <c r="R307" s="6"/>
      <c r="S307" s="6"/>
      <c r="T307" s="6"/>
      <c r="U307" s="6"/>
      <c r="V307" s="6"/>
      <c r="W307" s="6"/>
      <c r="X307" s="6"/>
      <c r="Y307" s="6"/>
      <c r="Z307" s="6"/>
    </row>
    <row r="308" ht="29.25" customHeight="1">
      <c r="A308" s="274" t="str">
        <f>'High Risk Non-Compliant'!B264</f>
        <v/>
      </c>
      <c r="B308" s="275" t="str">
        <f>'High Risk Non-Compliant'!C264</f>
        <v/>
      </c>
      <c r="C308" s="14"/>
      <c r="D308" s="275" t="str">
        <f>'High Risk Non-Compliant'!D264</f>
        <v/>
      </c>
      <c r="E308" s="40"/>
      <c r="F308" s="14"/>
      <c r="G308" s="266"/>
      <c r="H308" s="266"/>
      <c r="I308" s="6"/>
      <c r="J308" s="6"/>
      <c r="K308" s="6"/>
      <c r="L308" s="6"/>
      <c r="M308" s="6"/>
      <c r="N308" s="6"/>
      <c r="O308" s="6"/>
      <c r="P308" s="6"/>
      <c r="Q308" s="6"/>
      <c r="R308" s="6"/>
      <c r="S308" s="6"/>
      <c r="T308" s="6"/>
      <c r="U308" s="6"/>
      <c r="V308" s="6"/>
      <c r="W308" s="6"/>
      <c r="X308" s="6"/>
      <c r="Y308" s="6"/>
      <c r="Z308" s="6"/>
    </row>
    <row r="309" ht="18.0" customHeight="1">
      <c r="A309" s="274" t="str">
        <f>'High Risk Non-Compliant'!B265</f>
        <v/>
      </c>
      <c r="B309" s="275" t="str">
        <f>'High Risk Non-Compliant'!C265</f>
        <v/>
      </c>
      <c r="C309" s="14"/>
      <c r="D309" s="275" t="str">
        <f>'High Risk Non-Compliant'!D265</f>
        <v/>
      </c>
      <c r="E309" s="40"/>
      <c r="F309" s="14"/>
      <c r="G309" s="266"/>
      <c r="H309" s="266"/>
      <c r="I309" s="6"/>
      <c r="J309" s="6"/>
      <c r="K309" s="6"/>
      <c r="L309" s="6"/>
      <c r="M309" s="6"/>
      <c r="N309" s="6"/>
      <c r="O309" s="6"/>
      <c r="P309" s="6"/>
      <c r="Q309" s="6"/>
      <c r="R309" s="6"/>
      <c r="S309" s="6"/>
      <c r="T309" s="6"/>
      <c r="U309" s="6"/>
      <c r="V309" s="6"/>
      <c r="W309" s="6"/>
      <c r="X309" s="6"/>
      <c r="Y309" s="6"/>
      <c r="Z309" s="6"/>
    </row>
    <row r="310" ht="18.0" customHeight="1">
      <c r="A310" s="274" t="str">
        <f>'High Risk Non-Compliant'!B266</f>
        <v/>
      </c>
      <c r="B310" s="275" t="str">
        <f>'High Risk Non-Compliant'!C266</f>
        <v/>
      </c>
      <c r="C310" s="14"/>
      <c r="D310" s="275" t="str">
        <f>'High Risk Non-Compliant'!D266</f>
        <v/>
      </c>
      <c r="E310" s="40"/>
      <c r="F310" s="14"/>
      <c r="G310" s="266"/>
      <c r="H310" s="266"/>
      <c r="I310" s="6"/>
      <c r="J310" s="6"/>
      <c r="K310" s="6"/>
      <c r="L310" s="6"/>
      <c r="M310" s="6"/>
      <c r="N310" s="6"/>
      <c r="O310" s="6"/>
      <c r="P310" s="6"/>
      <c r="Q310" s="6"/>
      <c r="R310" s="6"/>
      <c r="S310" s="6"/>
      <c r="T310" s="6"/>
      <c r="U310" s="6"/>
      <c r="V310" s="6"/>
      <c r="W310" s="6"/>
      <c r="X310" s="6"/>
      <c r="Y310" s="6"/>
      <c r="Z310" s="6"/>
    </row>
    <row r="311" ht="43.5" customHeight="1">
      <c r="A311" s="274" t="str">
        <f>'High Risk Non-Compliant'!B267</f>
        <v/>
      </c>
      <c r="B311" s="275" t="str">
        <f>'High Risk Non-Compliant'!C267</f>
        <v/>
      </c>
      <c r="C311" s="14"/>
      <c r="D311" s="275" t="str">
        <f>'High Risk Non-Compliant'!D267</f>
        <v/>
      </c>
      <c r="E311" s="40"/>
      <c r="F311" s="14"/>
      <c r="G311" s="266"/>
      <c r="H311" s="266"/>
      <c r="I311" s="6"/>
      <c r="J311" s="6"/>
      <c r="K311" s="6"/>
      <c r="L311" s="6"/>
      <c r="M311" s="6"/>
      <c r="N311" s="6"/>
      <c r="O311" s="6"/>
      <c r="P311" s="6"/>
      <c r="Q311" s="6"/>
      <c r="R311" s="6"/>
      <c r="S311" s="6"/>
      <c r="T311" s="6"/>
      <c r="U311" s="6"/>
      <c r="V311" s="6"/>
      <c r="W311" s="6"/>
      <c r="X311" s="6"/>
      <c r="Y311" s="6"/>
      <c r="Z311" s="6"/>
    </row>
    <row r="312" ht="43.5" customHeight="1">
      <c r="A312" s="274" t="str">
        <f>'High Risk Non-Compliant'!B268</f>
        <v/>
      </c>
      <c r="B312" s="275" t="str">
        <f>'High Risk Non-Compliant'!C268</f>
        <v/>
      </c>
      <c r="C312" s="14"/>
      <c r="D312" s="275" t="str">
        <f>'High Risk Non-Compliant'!D268</f>
        <v/>
      </c>
      <c r="E312" s="40"/>
      <c r="F312" s="14"/>
      <c r="G312" s="266"/>
      <c r="H312" s="266"/>
      <c r="I312" s="6"/>
      <c r="J312" s="6"/>
      <c r="K312" s="6"/>
      <c r="L312" s="6"/>
      <c r="M312" s="6"/>
      <c r="N312" s="6"/>
      <c r="O312" s="6"/>
      <c r="P312" s="6"/>
      <c r="Q312" s="6"/>
      <c r="R312" s="6"/>
      <c r="S312" s="6"/>
      <c r="T312" s="6"/>
      <c r="U312" s="6"/>
      <c r="V312" s="6"/>
      <c r="W312" s="6"/>
      <c r="X312" s="6"/>
      <c r="Y312" s="6"/>
      <c r="Z312" s="6"/>
    </row>
    <row r="313" ht="43.5" customHeight="1">
      <c r="A313" s="274" t="str">
        <f>'High Risk Non-Compliant'!B269</f>
        <v/>
      </c>
      <c r="B313" s="275" t="str">
        <f>'High Risk Non-Compliant'!C269</f>
        <v/>
      </c>
      <c r="C313" s="14"/>
      <c r="D313" s="275" t="str">
        <f>'High Risk Non-Compliant'!D269</f>
        <v/>
      </c>
      <c r="E313" s="40"/>
      <c r="F313" s="14"/>
      <c r="G313" s="266"/>
      <c r="H313" s="266"/>
      <c r="I313" s="6"/>
      <c r="J313" s="6"/>
      <c r="K313" s="6"/>
      <c r="L313" s="6"/>
      <c r="M313" s="6"/>
      <c r="N313" s="6"/>
      <c r="O313" s="6"/>
      <c r="P313" s="6"/>
      <c r="Q313" s="6"/>
      <c r="R313" s="6"/>
      <c r="S313" s="6"/>
      <c r="T313" s="6"/>
      <c r="U313" s="6"/>
      <c r="V313" s="6"/>
      <c r="W313" s="6"/>
      <c r="X313" s="6"/>
      <c r="Y313" s="6"/>
      <c r="Z313" s="6"/>
    </row>
    <row r="314" ht="43.5" customHeight="1">
      <c r="A314" s="274" t="str">
        <f>'High Risk Non-Compliant'!B270</f>
        <v/>
      </c>
      <c r="B314" s="275" t="str">
        <f>'High Risk Non-Compliant'!C270</f>
        <v/>
      </c>
      <c r="C314" s="14"/>
      <c r="D314" s="275" t="str">
        <f>'High Risk Non-Compliant'!D270</f>
        <v/>
      </c>
      <c r="E314" s="40"/>
      <c r="F314" s="14"/>
      <c r="G314" s="266"/>
      <c r="H314" s="266"/>
      <c r="I314" s="6"/>
      <c r="J314" s="6"/>
      <c r="K314" s="6"/>
      <c r="L314" s="6"/>
      <c r="M314" s="6"/>
      <c r="N314" s="6"/>
      <c r="O314" s="6"/>
      <c r="P314" s="6"/>
      <c r="Q314" s="6"/>
      <c r="R314" s="6"/>
      <c r="S314" s="6"/>
      <c r="T314" s="6"/>
      <c r="U314" s="6"/>
      <c r="V314" s="6"/>
      <c r="W314" s="6"/>
      <c r="X314" s="6"/>
      <c r="Y314" s="6"/>
      <c r="Z314" s="6"/>
    </row>
    <row r="315" ht="29.25" customHeight="1">
      <c r="A315" s="274" t="str">
        <f>'High Risk Non-Compliant'!B271</f>
        <v/>
      </c>
      <c r="B315" s="275" t="str">
        <f>'High Risk Non-Compliant'!C271</f>
        <v/>
      </c>
      <c r="C315" s="14"/>
      <c r="D315" s="275" t="str">
        <f>'High Risk Non-Compliant'!D271</f>
        <v/>
      </c>
      <c r="E315" s="40"/>
      <c r="F315" s="14"/>
      <c r="G315" s="266"/>
      <c r="H315" s="266"/>
      <c r="I315" s="6"/>
      <c r="J315" s="6"/>
      <c r="K315" s="6"/>
      <c r="L315" s="6"/>
      <c r="M315" s="6"/>
      <c r="N315" s="6"/>
      <c r="O315" s="6"/>
      <c r="P315" s="6"/>
      <c r="Q315" s="6"/>
      <c r="R315" s="6"/>
      <c r="S315" s="6"/>
      <c r="T315" s="6"/>
      <c r="U315" s="6"/>
      <c r="V315" s="6"/>
      <c r="W315" s="6"/>
      <c r="X315" s="6"/>
      <c r="Y315" s="6"/>
      <c r="Z315" s="6"/>
    </row>
    <row r="316" ht="29.25" customHeight="1">
      <c r="A316" s="274" t="str">
        <f>'High Risk Non-Compliant'!B272</f>
        <v/>
      </c>
      <c r="B316" s="275" t="str">
        <f>'High Risk Non-Compliant'!C272</f>
        <v/>
      </c>
      <c r="C316" s="14"/>
      <c r="D316" s="275" t="str">
        <f>'High Risk Non-Compliant'!D272</f>
        <v/>
      </c>
      <c r="E316" s="40"/>
      <c r="F316" s="14"/>
      <c r="G316" s="266"/>
      <c r="H316" s="26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547">
    <mergeCell ref="D226:F226"/>
    <mergeCell ref="D227:F227"/>
    <mergeCell ref="D219:F219"/>
    <mergeCell ref="D220:F220"/>
    <mergeCell ref="D221:F221"/>
    <mergeCell ref="D222:F222"/>
    <mergeCell ref="D223:F223"/>
    <mergeCell ref="D224:F224"/>
    <mergeCell ref="D225:F225"/>
    <mergeCell ref="D170:F170"/>
    <mergeCell ref="D171:F171"/>
    <mergeCell ref="D172:F172"/>
    <mergeCell ref="D173:F173"/>
    <mergeCell ref="D174:F174"/>
    <mergeCell ref="D175:F175"/>
    <mergeCell ref="D176:F176"/>
    <mergeCell ref="D177:F177"/>
    <mergeCell ref="D178:F178"/>
    <mergeCell ref="D179:F179"/>
    <mergeCell ref="D180:F180"/>
    <mergeCell ref="D181:F181"/>
    <mergeCell ref="D182:F182"/>
    <mergeCell ref="D183:F183"/>
    <mergeCell ref="D184:F184"/>
    <mergeCell ref="D185:F185"/>
    <mergeCell ref="D186:F186"/>
    <mergeCell ref="D187:F187"/>
    <mergeCell ref="D188:F188"/>
    <mergeCell ref="D189:F189"/>
    <mergeCell ref="D190:F190"/>
    <mergeCell ref="D191:F191"/>
    <mergeCell ref="D192:F192"/>
    <mergeCell ref="D193:F193"/>
    <mergeCell ref="D194:F194"/>
    <mergeCell ref="D195:F195"/>
    <mergeCell ref="D196:F196"/>
    <mergeCell ref="D197:F197"/>
    <mergeCell ref="D198:F198"/>
    <mergeCell ref="D199:F199"/>
    <mergeCell ref="D200:F200"/>
    <mergeCell ref="D201:F201"/>
    <mergeCell ref="D202:F202"/>
    <mergeCell ref="D203:F203"/>
    <mergeCell ref="D204:F204"/>
    <mergeCell ref="D205:F205"/>
    <mergeCell ref="D206:F206"/>
    <mergeCell ref="D207:F207"/>
    <mergeCell ref="D208:F208"/>
    <mergeCell ref="D209:F209"/>
    <mergeCell ref="D210:F210"/>
    <mergeCell ref="D211:F211"/>
    <mergeCell ref="D212:F212"/>
    <mergeCell ref="D213:F213"/>
    <mergeCell ref="D214:F214"/>
    <mergeCell ref="D215:F215"/>
    <mergeCell ref="D216:F216"/>
    <mergeCell ref="D217:F217"/>
    <mergeCell ref="D218:F218"/>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D228:F228"/>
    <mergeCell ref="B229:C229"/>
    <mergeCell ref="D229:F229"/>
    <mergeCell ref="B230:C230"/>
    <mergeCell ref="D230:F230"/>
    <mergeCell ref="B231:C231"/>
    <mergeCell ref="D231:F231"/>
    <mergeCell ref="B232:C232"/>
    <mergeCell ref="D232:F232"/>
    <mergeCell ref="D233:F233"/>
    <mergeCell ref="B233:C233"/>
    <mergeCell ref="B234:C234"/>
    <mergeCell ref="B235:C235"/>
    <mergeCell ref="B236:C236"/>
    <mergeCell ref="B237:C237"/>
    <mergeCell ref="B238:C238"/>
    <mergeCell ref="B239:C239"/>
    <mergeCell ref="D234:F234"/>
    <mergeCell ref="D235:F235"/>
    <mergeCell ref="D236:F236"/>
    <mergeCell ref="D237:F237"/>
    <mergeCell ref="D238:F238"/>
    <mergeCell ref="D239:F239"/>
    <mergeCell ref="D240:F240"/>
    <mergeCell ref="D241:F241"/>
    <mergeCell ref="D242:F242"/>
    <mergeCell ref="D243:F243"/>
    <mergeCell ref="D244:F244"/>
    <mergeCell ref="D245:F245"/>
    <mergeCell ref="D246:F246"/>
    <mergeCell ref="D247:F247"/>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10:C310"/>
    <mergeCell ref="B311:C311"/>
    <mergeCell ref="B312:C312"/>
    <mergeCell ref="B313:C313"/>
    <mergeCell ref="B314:C314"/>
    <mergeCell ref="B315:C315"/>
    <mergeCell ref="B316:C316"/>
    <mergeCell ref="B303:C303"/>
    <mergeCell ref="B304:C304"/>
    <mergeCell ref="B305:C305"/>
    <mergeCell ref="B306:C306"/>
    <mergeCell ref="B307:C307"/>
    <mergeCell ref="B308:C308"/>
    <mergeCell ref="B309:C30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D313:F313"/>
    <mergeCell ref="D314:F314"/>
    <mergeCell ref="D315:F315"/>
    <mergeCell ref="D316:F316"/>
    <mergeCell ref="D306:F306"/>
    <mergeCell ref="D307:F307"/>
    <mergeCell ref="D308:F308"/>
    <mergeCell ref="D309:F309"/>
    <mergeCell ref="D310:F310"/>
    <mergeCell ref="D311:F311"/>
    <mergeCell ref="D312:F312"/>
    <mergeCell ref="D257:F257"/>
    <mergeCell ref="D258:F258"/>
    <mergeCell ref="D259:F259"/>
    <mergeCell ref="D260:F260"/>
    <mergeCell ref="D261:F261"/>
    <mergeCell ref="D262:F262"/>
    <mergeCell ref="D263:F263"/>
    <mergeCell ref="D264:F264"/>
    <mergeCell ref="D265:F265"/>
    <mergeCell ref="D266:F266"/>
    <mergeCell ref="D267:F267"/>
    <mergeCell ref="D268:F268"/>
    <mergeCell ref="D269:F269"/>
    <mergeCell ref="D270:F270"/>
    <mergeCell ref="D271:F271"/>
    <mergeCell ref="D272:F272"/>
    <mergeCell ref="D273:F273"/>
    <mergeCell ref="D274:F274"/>
    <mergeCell ref="D275:F275"/>
    <mergeCell ref="D276:F276"/>
    <mergeCell ref="D277:F277"/>
    <mergeCell ref="D278:F278"/>
    <mergeCell ref="D279:F279"/>
    <mergeCell ref="D280:F280"/>
    <mergeCell ref="D281:F281"/>
    <mergeCell ref="D282:F282"/>
    <mergeCell ref="D283:F283"/>
    <mergeCell ref="D284:F284"/>
    <mergeCell ref="D285:F285"/>
    <mergeCell ref="D286:F286"/>
    <mergeCell ref="D287:F287"/>
    <mergeCell ref="D288:F288"/>
    <mergeCell ref="D289:F289"/>
    <mergeCell ref="D290:F290"/>
    <mergeCell ref="D291:F291"/>
    <mergeCell ref="D292:F292"/>
    <mergeCell ref="D293:F293"/>
    <mergeCell ref="D294:F294"/>
    <mergeCell ref="D295:F295"/>
    <mergeCell ref="D296:F296"/>
    <mergeCell ref="D297:F297"/>
    <mergeCell ref="D298:F298"/>
    <mergeCell ref="D299:F299"/>
    <mergeCell ref="D300:F300"/>
    <mergeCell ref="D301:F301"/>
    <mergeCell ref="D302:F302"/>
    <mergeCell ref="D303:F303"/>
    <mergeCell ref="D304:F304"/>
    <mergeCell ref="D305:F305"/>
    <mergeCell ref="A1:G1"/>
    <mergeCell ref="A2:H2"/>
    <mergeCell ref="B3:C3"/>
    <mergeCell ref="E3:H3"/>
    <mergeCell ref="B4:H4"/>
    <mergeCell ref="D5:E5"/>
    <mergeCell ref="A46:H46"/>
    <mergeCell ref="A47:F47"/>
    <mergeCell ref="G47:H47"/>
    <mergeCell ref="B48:C48"/>
    <mergeCell ref="D48:F48"/>
    <mergeCell ref="B49:C49"/>
    <mergeCell ref="D49:F49"/>
    <mergeCell ref="D50:F50"/>
    <mergeCell ref="B50:C50"/>
    <mergeCell ref="B51:C51"/>
    <mergeCell ref="D51:F51"/>
    <mergeCell ref="B52:C52"/>
    <mergeCell ref="D52:F52"/>
    <mergeCell ref="B53:C53"/>
    <mergeCell ref="D53:F53"/>
    <mergeCell ref="B54:C54"/>
    <mergeCell ref="D54:F54"/>
    <mergeCell ref="B55:C55"/>
    <mergeCell ref="D55:F55"/>
    <mergeCell ref="B56:C56"/>
    <mergeCell ref="D56:F56"/>
    <mergeCell ref="D57:F57"/>
    <mergeCell ref="B57:C57"/>
    <mergeCell ref="B58:C58"/>
    <mergeCell ref="B59:C59"/>
    <mergeCell ref="B60:C60"/>
    <mergeCell ref="B61:C61"/>
    <mergeCell ref="B62:C62"/>
    <mergeCell ref="B63:C63"/>
    <mergeCell ref="D58:F58"/>
    <mergeCell ref="D59:F59"/>
    <mergeCell ref="D60:F60"/>
    <mergeCell ref="D61:F61"/>
    <mergeCell ref="D62:F62"/>
    <mergeCell ref="D63:F63"/>
    <mergeCell ref="D64:F64"/>
    <mergeCell ref="D65:F65"/>
    <mergeCell ref="D66:F66"/>
    <mergeCell ref="D67:F67"/>
    <mergeCell ref="D68:F68"/>
    <mergeCell ref="D69:F69"/>
    <mergeCell ref="D70:F70"/>
    <mergeCell ref="D71:F71"/>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D72:F72"/>
    <mergeCell ref="D73:F73"/>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D90:F90"/>
    <mergeCell ref="D91:F91"/>
    <mergeCell ref="D92:F92"/>
    <mergeCell ref="D93:F93"/>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D121:F121"/>
    <mergeCell ref="D122:F122"/>
    <mergeCell ref="D123:F123"/>
    <mergeCell ref="D124:F124"/>
    <mergeCell ref="D125:F125"/>
    <mergeCell ref="D126:F126"/>
    <mergeCell ref="D127:F127"/>
    <mergeCell ref="D128:F128"/>
    <mergeCell ref="D129:F129"/>
    <mergeCell ref="D130:F130"/>
    <mergeCell ref="D131:F131"/>
    <mergeCell ref="D132:F132"/>
    <mergeCell ref="D133:F133"/>
    <mergeCell ref="D134:F134"/>
    <mergeCell ref="D135:F135"/>
    <mergeCell ref="D136:F136"/>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0:F160"/>
    <mergeCell ref="D161:F161"/>
    <mergeCell ref="D162:F162"/>
    <mergeCell ref="D163:F163"/>
    <mergeCell ref="D164:F164"/>
    <mergeCell ref="D165:F165"/>
    <mergeCell ref="D166:F166"/>
    <mergeCell ref="D167:F167"/>
    <mergeCell ref="D168:F168"/>
    <mergeCell ref="D169:F169"/>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D255:F255"/>
    <mergeCell ref="D256:F256"/>
    <mergeCell ref="D248:F248"/>
    <mergeCell ref="D249:F249"/>
    <mergeCell ref="D250:F250"/>
    <mergeCell ref="D251:F251"/>
    <mergeCell ref="D252:F252"/>
    <mergeCell ref="D253:F253"/>
    <mergeCell ref="D254:F254"/>
  </mergeCells>
  <printOptions/>
  <pageMargins bottom="0.75" footer="0.0" header="0.0" left="0.7" right="0.7" top="0.75"/>
  <pageSetup orientation="portrait"/>
  <headerFooter>
    <oddFooter>&amp;C000000&amp;P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6" width="8.44"/>
  </cols>
  <sheetData>
    <row r="1" ht="60.0" customHeight="1">
      <c r="A1" s="276" t="s">
        <v>1046</v>
      </c>
      <c r="B1" s="277" t="s">
        <v>1556</v>
      </c>
      <c r="C1" s="278"/>
      <c r="D1" s="20"/>
      <c r="E1" s="20"/>
      <c r="F1" s="6"/>
      <c r="G1" s="6"/>
      <c r="H1" s="6"/>
      <c r="I1" s="6"/>
      <c r="J1" s="6"/>
      <c r="K1" s="6"/>
      <c r="L1" s="6"/>
      <c r="M1" s="6"/>
      <c r="N1" s="6"/>
      <c r="O1" s="6"/>
      <c r="P1" s="6"/>
      <c r="Q1" s="6"/>
      <c r="R1" s="6"/>
      <c r="S1" s="6"/>
      <c r="T1" s="6"/>
      <c r="U1" s="6"/>
      <c r="V1" s="6"/>
      <c r="W1" s="6"/>
      <c r="X1" s="6"/>
      <c r="Y1" s="6"/>
      <c r="Z1" s="6"/>
    </row>
    <row r="2" ht="75.0" customHeight="1">
      <c r="A2" s="276" t="s">
        <v>1557</v>
      </c>
      <c r="B2" s="277" t="s">
        <v>1558</v>
      </c>
      <c r="C2" s="278"/>
      <c r="D2" s="20"/>
      <c r="E2" s="20"/>
      <c r="F2" s="6"/>
      <c r="G2" s="6"/>
      <c r="H2" s="6"/>
      <c r="I2" s="6"/>
      <c r="J2" s="6"/>
      <c r="K2" s="6"/>
      <c r="L2" s="6"/>
      <c r="M2" s="6"/>
      <c r="N2" s="6"/>
      <c r="O2" s="6"/>
      <c r="P2" s="6"/>
      <c r="Q2" s="6"/>
      <c r="R2" s="6"/>
      <c r="S2" s="6"/>
      <c r="T2" s="6"/>
      <c r="U2" s="6"/>
      <c r="V2" s="6"/>
      <c r="W2" s="6"/>
      <c r="X2" s="6"/>
      <c r="Y2" s="6"/>
      <c r="Z2" s="6"/>
    </row>
    <row r="3" ht="75.0" customHeight="1">
      <c r="A3" s="276" t="s">
        <v>1559</v>
      </c>
      <c r="B3" s="277" t="s">
        <v>1560</v>
      </c>
      <c r="C3" s="278"/>
      <c r="D3" s="20"/>
      <c r="E3" s="20"/>
      <c r="F3" s="6"/>
      <c r="G3" s="6"/>
      <c r="H3" s="6"/>
      <c r="I3" s="6"/>
      <c r="J3" s="6"/>
      <c r="K3" s="6"/>
      <c r="L3" s="6"/>
      <c r="M3" s="6"/>
      <c r="N3" s="6"/>
      <c r="O3" s="6"/>
      <c r="P3" s="6"/>
      <c r="Q3" s="6"/>
      <c r="R3" s="6"/>
      <c r="S3" s="6"/>
      <c r="T3" s="6"/>
      <c r="U3" s="6"/>
      <c r="V3" s="6"/>
      <c r="W3" s="6"/>
      <c r="X3" s="6"/>
      <c r="Y3" s="6"/>
      <c r="Z3" s="6"/>
    </row>
    <row r="4" ht="45.0" customHeight="1">
      <c r="A4" s="276" t="s">
        <v>1561</v>
      </c>
      <c r="B4" s="277" t="s">
        <v>1562</v>
      </c>
      <c r="C4" s="278"/>
      <c r="D4" s="20"/>
      <c r="E4" s="20"/>
      <c r="F4" s="6"/>
      <c r="G4" s="6"/>
      <c r="H4" s="6"/>
      <c r="I4" s="6"/>
      <c r="J4" s="6"/>
      <c r="K4" s="6"/>
      <c r="L4" s="6"/>
      <c r="M4" s="6"/>
      <c r="N4" s="6"/>
      <c r="O4" s="6"/>
      <c r="P4" s="6"/>
      <c r="Q4" s="6"/>
      <c r="R4" s="6"/>
      <c r="S4" s="6"/>
      <c r="T4" s="6"/>
      <c r="U4" s="6"/>
      <c r="V4" s="6"/>
      <c r="W4" s="6"/>
      <c r="X4" s="6"/>
      <c r="Y4" s="6"/>
      <c r="Z4" s="6"/>
    </row>
    <row r="5" ht="45.0" customHeight="1">
      <c r="A5" s="276" t="s">
        <v>1563</v>
      </c>
      <c r="B5" s="277" t="s">
        <v>1564</v>
      </c>
      <c r="C5" s="278"/>
      <c r="D5" s="20"/>
      <c r="E5" s="20"/>
      <c r="F5" s="6"/>
      <c r="G5" s="6"/>
      <c r="H5" s="6"/>
      <c r="I5" s="6"/>
      <c r="J5" s="6"/>
      <c r="K5" s="6"/>
      <c r="L5" s="6"/>
      <c r="M5" s="6"/>
      <c r="N5" s="6"/>
      <c r="O5" s="6"/>
      <c r="P5" s="6"/>
      <c r="Q5" s="6"/>
      <c r="R5" s="6"/>
      <c r="S5" s="6"/>
      <c r="T5" s="6"/>
      <c r="U5" s="6"/>
      <c r="V5" s="6"/>
      <c r="W5" s="6"/>
      <c r="X5" s="6"/>
      <c r="Y5" s="6"/>
      <c r="Z5" s="6"/>
    </row>
    <row r="6" ht="75.0" customHeight="1">
      <c r="A6" s="276" t="s">
        <v>1565</v>
      </c>
      <c r="B6" s="277" t="s">
        <v>1566</v>
      </c>
      <c r="C6" s="278"/>
      <c r="D6" s="20"/>
      <c r="E6" s="20"/>
      <c r="F6" s="6"/>
      <c r="G6" s="6"/>
      <c r="H6" s="6"/>
      <c r="I6" s="6"/>
      <c r="J6" s="6"/>
      <c r="K6" s="6"/>
      <c r="L6" s="6"/>
      <c r="M6" s="6"/>
      <c r="N6" s="6"/>
      <c r="O6" s="6"/>
      <c r="P6" s="6"/>
      <c r="Q6" s="6"/>
      <c r="R6" s="6"/>
      <c r="S6" s="6"/>
      <c r="T6" s="6"/>
      <c r="U6" s="6"/>
      <c r="V6" s="6"/>
      <c r="W6" s="6"/>
      <c r="X6" s="6"/>
      <c r="Y6" s="6"/>
      <c r="Z6" s="6"/>
    </row>
    <row r="7" ht="75.0" customHeight="1">
      <c r="A7" s="276" t="s">
        <v>1567</v>
      </c>
      <c r="B7" s="277" t="s">
        <v>1568</v>
      </c>
      <c r="C7" s="278"/>
      <c r="D7" s="20"/>
      <c r="E7" s="20"/>
      <c r="F7" s="6"/>
      <c r="G7" s="6"/>
      <c r="H7" s="6"/>
      <c r="I7" s="6"/>
      <c r="J7" s="6"/>
      <c r="K7" s="6"/>
      <c r="L7" s="6"/>
      <c r="M7" s="6"/>
      <c r="N7" s="6"/>
      <c r="O7" s="6"/>
      <c r="P7" s="6"/>
      <c r="Q7" s="6"/>
      <c r="R7" s="6"/>
      <c r="S7" s="6"/>
      <c r="T7" s="6"/>
      <c r="U7" s="6"/>
      <c r="V7" s="6"/>
      <c r="W7" s="6"/>
      <c r="X7" s="6"/>
      <c r="Y7" s="6"/>
      <c r="Z7" s="6"/>
    </row>
    <row r="8" ht="45.0" customHeight="1">
      <c r="A8" s="276" t="s">
        <v>1099</v>
      </c>
      <c r="B8" s="277" t="s">
        <v>1569</v>
      </c>
      <c r="C8" s="278"/>
      <c r="D8" s="20"/>
      <c r="E8" s="20"/>
      <c r="F8" s="6"/>
      <c r="G8" s="6"/>
      <c r="H8" s="6"/>
      <c r="I8" s="6"/>
      <c r="J8" s="6"/>
      <c r="K8" s="6"/>
      <c r="L8" s="6"/>
      <c r="M8" s="6"/>
      <c r="N8" s="6"/>
      <c r="O8" s="6"/>
      <c r="P8" s="6"/>
      <c r="Q8" s="6"/>
      <c r="R8" s="6"/>
      <c r="S8" s="6"/>
      <c r="T8" s="6"/>
      <c r="U8" s="6"/>
      <c r="V8" s="6"/>
      <c r="W8" s="6"/>
      <c r="X8" s="6"/>
      <c r="Y8" s="6"/>
      <c r="Z8" s="6"/>
    </row>
    <row r="9" ht="30.0" customHeight="1">
      <c r="A9" s="276" t="s">
        <v>1570</v>
      </c>
      <c r="B9" s="277" t="s">
        <v>1571</v>
      </c>
      <c r="C9" s="278"/>
      <c r="D9" s="20"/>
      <c r="E9" s="20"/>
      <c r="F9" s="6"/>
      <c r="G9" s="6"/>
      <c r="H9" s="6"/>
      <c r="I9" s="6"/>
      <c r="J9" s="6"/>
      <c r="K9" s="6"/>
      <c r="L9" s="6"/>
      <c r="M9" s="6"/>
      <c r="N9" s="6"/>
      <c r="O9" s="6"/>
      <c r="P9" s="6"/>
      <c r="Q9" s="6"/>
      <c r="R9" s="6"/>
      <c r="S9" s="6"/>
      <c r="T9" s="6"/>
      <c r="U9" s="6"/>
      <c r="V9" s="6"/>
      <c r="W9" s="6"/>
      <c r="X9" s="6"/>
      <c r="Y9" s="6"/>
      <c r="Z9" s="6"/>
    </row>
    <row r="10" ht="18.0" customHeight="1">
      <c r="A10" s="276" t="s">
        <v>1075</v>
      </c>
      <c r="B10" s="277" t="s">
        <v>1572</v>
      </c>
      <c r="C10" s="278"/>
      <c r="D10" s="20"/>
      <c r="E10" s="20"/>
      <c r="F10" s="6"/>
      <c r="G10" s="6"/>
      <c r="H10" s="6"/>
      <c r="I10" s="6"/>
      <c r="J10" s="6"/>
      <c r="K10" s="6"/>
      <c r="L10" s="6"/>
      <c r="M10" s="6"/>
      <c r="N10" s="6"/>
      <c r="O10" s="6"/>
      <c r="P10" s="6"/>
      <c r="Q10" s="6"/>
      <c r="R10" s="6"/>
      <c r="S10" s="6"/>
      <c r="T10" s="6"/>
      <c r="U10" s="6"/>
      <c r="V10" s="6"/>
      <c r="W10" s="6"/>
      <c r="X10" s="6"/>
      <c r="Y10" s="6"/>
      <c r="Z10" s="6"/>
    </row>
    <row r="11" ht="75.0" customHeight="1">
      <c r="A11" s="276" t="s">
        <v>1080</v>
      </c>
      <c r="B11" s="277" t="s">
        <v>1573</v>
      </c>
      <c r="C11" s="278"/>
      <c r="D11" s="20"/>
      <c r="E11" s="20"/>
      <c r="F11" s="6"/>
      <c r="G11" s="6"/>
      <c r="H11" s="6"/>
      <c r="I11" s="6"/>
      <c r="J11" s="6"/>
      <c r="K11" s="6"/>
      <c r="L11" s="6"/>
      <c r="M11" s="6"/>
      <c r="N11" s="6"/>
      <c r="O11" s="6"/>
      <c r="P11" s="6"/>
      <c r="Q11" s="6"/>
      <c r="R11" s="6"/>
      <c r="S11" s="6"/>
      <c r="T11" s="6"/>
      <c r="U11" s="6"/>
      <c r="V11" s="6"/>
      <c r="W11" s="6"/>
      <c r="X11" s="6"/>
      <c r="Y11" s="6"/>
      <c r="Z11" s="6"/>
    </row>
    <row r="12" ht="60.0" customHeight="1">
      <c r="A12" s="276" t="s">
        <v>1574</v>
      </c>
      <c r="B12" s="277" t="s">
        <v>1575</v>
      </c>
      <c r="C12" s="278"/>
      <c r="D12" s="20"/>
      <c r="E12" s="20"/>
      <c r="F12" s="6"/>
      <c r="G12" s="6"/>
      <c r="H12" s="6"/>
      <c r="I12" s="6"/>
      <c r="J12" s="6"/>
      <c r="K12" s="6"/>
      <c r="L12" s="6"/>
      <c r="M12" s="6"/>
      <c r="N12" s="6"/>
      <c r="O12" s="6"/>
      <c r="P12" s="6"/>
      <c r="Q12" s="6"/>
      <c r="R12" s="6"/>
      <c r="S12" s="6"/>
      <c r="T12" s="6"/>
      <c r="U12" s="6"/>
      <c r="V12" s="6"/>
      <c r="W12" s="6"/>
      <c r="X12" s="6"/>
      <c r="Y12" s="6"/>
      <c r="Z12" s="6"/>
    </row>
    <row r="13" ht="90.0" customHeight="1">
      <c r="A13" s="276" t="s">
        <v>1084</v>
      </c>
      <c r="B13" s="277" t="s">
        <v>1576</v>
      </c>
      <c r="C13" s="278"/>
      <c r="D13" s="20"/>
      <c r="E13" s="20"/>
      <c r="F13" s="6"/>
      <c r="G13" s="6"/>
      <c r="H13" s="6"/>
      <c r="I13" s="6"/>
      <c r="J13" s="6"/>
      <c r="K13" s="6"/>
      <c r="L13" s="6"/>
      <c r="M13" s="6"/>
      <c r="N13" s="6"/>
      <c r="O13" s="6"/>
      <c r="P13" s="6"/>
      <c r="Q13" s="6"/>
      <c r="R13" s="6"/>
      <c r="S13" s="6"/>
      <c r="T13" s="6"/>
      <c r="U13" s="6"/>
      <c r="V13" s="6"/>
      <c r="W13" s="6"/>
      <c r="X13" s="6"/>
      <c r="Y13" s="6"/>
      <c r="Z13" s="6"/>
    </row>
    <row r="14" ht="30.0" customHeight="1">
      <c r="A14" s="276" t="s">
        <v>1577</v>
      </c>
      <c r="B14" s="277" t="s">
        <v>1578</v>
      </c>
      <c r="C14" s="278"/>
      <c r="D14" s="20"/>
      <c r="E14" s="20"/>
      <c r="F14" s="6"/>
      <c r="G14" s="6"/>
      <c r="H14" s="6"/>
      <c r="I14" s="6"/>
      <c r="J14" s="6"/>
      <c r="K14" s="6"/>
      <c r="L14" s="6"/>
      <c r="M14" s="6"/>
      <c r="N14" s="6"/>
      <c r="O14" s="6"/>
      <c r="P14" s="6"/>
      <c r="Q14" s="6"/>
      <c r="R14" s="6"/>
      <c r="S14" s="6"/>
      <c r="T14" s="6"/>
      <c r="U14" s="6"/>
      <c r="V14" s="6"/>
      <c r="W14" s="6"/>
      <c r="X14" s="6"/>
      <c r="Y14" s="6"/>
      <c r="Z14" s="6"/>
    </row>
    <row r="15" ht="105.0" customHeight="1">
      <c r="A15" s="276" t="s">
        <v>1579</v>
      </c>
      <c r="B15" s="277" t="s">
        <v>1580</v>
      </c>
      <c r="C15" s="278"/>
      <c r="D15" s="20"/>
      <c r="E15" s="20"/>
      <c r="F15" s="6"/>
      <c r="G15" s="6"/>
      <c r="H15" s="6"/>
      <c r="I15" s="6"/>
      <c r="J15" s="6"/>
      <c r="K15" s="6"/>
      <c r="L15" s="6"/>
      <c r="M15" s="6"/>
      <c r="N15" s="6"/>
      <c r="O15" s="6"/>
      <c r="P15" s="6"/>
      <c r="Q15" s="6"/>
      <c r="R15" s="6"/>
      <c r="S15" s="6"/>
      <c r="T15" s="6"/>
      <c r="U15" s="6"/>
      <c r="V15" s="6"/>
      <c r="W15" s="6"/>
      <c r="X15" s="6"/>
      <c r="Y15" s="6"/>
      <c r="Z15" s="6"/>
    </row>
    <row r="16" ht="30.0" customHeight="1">
      <c r="A16" s="276" t="s">
        <v>1581</v>
      </c>
      <c r="B16" s="277" t="s">
        <v>1582</v>
      </c>
      <c r="C16" s="278"/>
      <c r="D16" s="20"/>
      <c r="E16" s="20"/>
      <c r="F16" s="6"/>
      <c r="G16" s="6"/>
      <c r="H16" s="6"/>
      <c r="I16" s="6"/>
      <c r="J16" s="6"/>
      <c r="K16" s="6"/>
      <c r="L16" s="6"/>
      <c r="M16" s="6"/>
      <c r="N16" s="6"/>
      <c r="O16" s="6"/>
      <c r="P16" s="6"/>
      <c r="Q16" s="6"/>
      <c r="R16" s="6"/>
      <c r="S16" s="6"/>
      <c r="T16" s="6"/>
      <c r="U16" s="6"/>
      <c r="V16" s="6"/>
      <c r="W16" s="6"/>
      <c r="X16" s="6"/>
      <c r="Y16" s="6"/>
      <c r="Z16" s="6"/>
    </row>
    <row r="17" ht="30.0" customHeight="1">
      <c r="A17" s="276" t="s">
        <v>961</v>
      </c>
      <c r="B17" s="277" t="s">
        <v>1583</v>
      </c>
      <c r="C17" s="278"/>
      <c r="D17" s="20"/>
      <c r="E17" s="20"/>
      <c r="F17" s="6"/>
      <c r="G17" s="6"/>
      <c r="H17" s="6"/>
      <c r="I17" s="6"/>
      <c r="J17" s="6"/>
      <c r="K17" s="6"/>
      <c r="L17" s="6"/>
      <c r="M17" s="6"/>
      <c r="N17" s="6"/>
      <c r="O17" s="6"/>
      <c r="P17" s="6"/>
      <c r="Q17" s="6"/>
      <c r="R17" s="6"/>
      <c r="S17" s="6"/>
      <c r="T17" s="6"/>
      <c r="U17" s="6"/>
      <c r="V17" s="6"/>
      <c r="W17" s="6"/>
      <c r="X17" s="6"/>
      <c r="Y17" s="6"/>
      <c r="Z17" s="6"/>
    </row>
    <row r="18" ht="45.0" customHeight="1">
      <c r="A18" s="276" t="s">
        <v>1584</v>
      </c>
      <c r="B18" s="277" t="s">
        <v>1585</v>
      </c>
      <c r="C18" s="278"/>
      <c r="D18" s="20"/>
      <c r="E18" s="20"/>
      <c r="F18" s="6"/>
      <c r="G18" s="6"/>
      <c r="H18" s="6"/>
      <c r="I18" s="6"/>
      <c r="J18" s="6"/>
      <c r="K18" s="6"/>
      <c r="L18" s="6"/>
      <c r="M18" s="6"/>
      <c r="N18" s="6"/>
      <c r="O18" s="6"/>
      <c r="P18" s="6"/>
      <c r="Q18" s="6"/>
      <c r="R18" s="6"/>
      <c r="S18" s="6"/>
      <c r="T18" s="6"/>
      <c r="U18" s="6"/>
      <c r="V18" s="6"/>
      <c r="W18" s="6"/>
      <c r="X18" s="6"/>
      <c r="Y18" s="6"/>
      <c r="Z18" s="6"/>
    </row>
    <row r="19" ht="30.0" customHeight="1">
      <c r="A19" s="276" t="s">
        <v>959</v>
      </c>
      <c r="B19" s="277" t="s">
        <v>1586</v>
      </c>
      <c r="C19" s="278"/>
      <c r="D19" s="20"/>
      <c r="E19" s="20"/>
      <c r="F19" s="6"/>
      <c r="G19" s="6"/>
      <c r="H19" s="6"/>
      <c r="I19" s="6"/>
      <c r="J19" s="6"/>
      <c r="K19" s="6"/>
      <c r="L19" s="6"/>
      <c r="M19" s="6"/>
      <c r="N19" s="6"/>
      <c r="O19" s="6"/>
      <c r="P19" s="6"/>
      <c r="Q19" s="6"/>
      <c r="R19" s="6"/>
      <c r="S19" s="6"/>
      <c r="T19" s="6"/>
      <c r="U19" s="6"/>
      <c r="V19" s="6"/>
      <c r="W19" s="6"/>
      <c r="X19" s="6"/>
      <c r="Y19" s="6"/>
      <c r="Z19" s="6"/>
    </row>
    <row r="20" ht="60.0" customHeight="1">
      <c r="A20" s="276" t="s">
        <v>1587</v>
      </c>
      <c r="B20" s="277" t="s">
        <v>1588</v>
      </c>
      <c r="C20" s="278"/>
      <c r="D20" s="20"/>
      <c r="E20" s="20"/>
      <c r="F20" s="6"/>
      <c r="G20" s="6"/>
      <c r="H20" s="6"/>
      <c r="I20" s="6"/>
      <c r="J20" s="6"/>
      <c r="K20" s="6"/>
      <c r="L20" s="6"/>
      <c r="M20" s="6"/>
      <c r="N20" s="6"/>
      <c r="O20" s="6"/>
      <c r="P20" s="6"/>
      <c r="Q20" s="6"/>
      <c r="R20" s="6"/>
      <c r="S20" s="6"/>
      <c r="T20" s="6"/>
      <c r="U20" s="6"/>
      <c r="V20" s="6"/>
      <c r="W20" s="6"/>
      <c r="X20" s="6"/>
      <c r="Y20" s="6"/>
      <c r="Z20" s="6"/>
    </row>
    <row r="21" ht="60.0" customHeight="1">
      <c r="A21" s="276" t="s">
        <v>1589</v>
      </c>
      <c r="B21" s="277" t="s">
        <v>1590</v>
      </c>
      <c r="C21" s="278"/>
      <c r="D21" s="20"/>
      <c r="E21" s="20"/>
      <c r="F21" s="6"/>
      <c r="G21" s="6"/>
      <c r="H21" s="6"/>
      <c r="I21" s="6"/>
      <c r="J21" s="6"/>
      <c r="K21" s="6"/>
      <c r="L21" s="6"/>
      <c r="M21" s="6"/>
      <c r="N21" s="6"/>
      <c r="O21" s="6"/>
      <c r="P21" s="6"/>
      <c r="Q21" s="6"/>
      <c r="R21" s="6"/>
      <c r="S21" s="6"/>
      <c r="T21" s="6"/>
      <c r="U21" s="6"/>
      <c r="V21" s="6"/>
      <c r="W21" s="6"/>
      <c r="X21" s="6"/>
      <c r="Y21" s="6"/>
      <c r="Z21" s="6"/>
    </row>
    <row r="22" ht="30.0" customHeight="1">
      <c r="A22" s="276" t="s">
        <v>1025</v>
      </c>
      <c r="B22" s="277" t="s">
        <v>1591</v>
      </c>
      <c r="C22" s="278"/>
      <c r="D22" s="20"/>
      <c r="E22" s="20"/>
      <c r="F22" s="6"/>
      <c r="G22" s="6"/>
      <c r="H22" s="6"/>
      <c r="I22" s="6"/>
      <c r="J22" s="6"/>
      <c r="K22" s="6"/>
      <c r="L22" s="6"/>
      <c r="M22" s="6"/>
      <c r="N22" s="6"/>
      <c r="O22" s="6"/>
      <c r="P22" s="6"/>
      <c r="Q22" s="6"/>
      <c r="R22" s="6"/>
      <c r="S22" s="6"/>
      <c r="T22" s="6"/>
      <c r="U22" s="6"/>
      <c r="V22" s="6"/>
      <c r="W22" s="6"/>
      <c r="X22" s="6"/>
      <c r="Y22" s="6"/>
      <c r="Z22" s="6"/>
    </row>
    <row r="23" ht="60.0" customHeight="1">
      <c r="A23" s="276" t="s">
        <v>975</v>
      </c>
      <c r="B23" s="277" t="s">
        <v>1592</v>
      </c>
      <c r="C23" s="278"/>
      <c r="D23" s="20"/>
      <c r="E23" s="20"/>
      <c r="F23" s="6"/>
      <c r="G23" s="6"/>
      <c r="H23" s="6"/>
      <c r="I23" s="6"/>
      <c r="J23" s="6"/>
      <c r="K23" s="6"/>
      <c r="L23" s="6"/>
      <c r="M23" s="6"/>
      <c r="N23" s="6"/>
      <c r="O23" s="6"/>
      <c r="P23" s="6"/>
      <c r="Q23" s="6"/>
      <c r="R23" s="6"/>
      <c r="S23" s="6"/>
      <c r="T23" s="6"/>
      <c r="U23" s="6"/>
      <c r="V23" s="6"/>
      <c r="W23" s="6"/>
      <c r="X23" s="6"/>
      <c r="Y23" s="6"/>
      <c r="Z23" s="6"/>
    </row>
    <row r="24" ht="30.0" customHeight="1">
      <c r="A24" s="276" t="s">
        <v>1593</v>
      </c>
      <c r="B24" s="277" t="s">
        <v>1594</v>
      </c>
      <c r="C24" s="278"/>
      <c r="D24" s="20"/>
      <c r="E24" s="20"/>
      <c r="F24" s="6"/>
      <c r="G24" s="6"/>
      <c r="H24" s="6"/>
      <c r="I24" s="6"/>
      <c r="J24" s="6"/>
      <c r="K24" s="6"/>
      <c r="L24" s="6"/>
      <c r="M24" s="6"/>
      <c r="N24" s="6"/>
      <c r="O24" s="6"/>
      <c r="P24" s="6"/>
      <c r="Q24" s="6"/>
      <c r="R24" s="6"/>
      <c r="S24" s="6"/>
      <c r="T24" s="6"/>
      <c r="U24" s="6"/>
      <c r="V24" s="6"/>
      <c r="W24" s="6"/>
      <c r="X24" s="6"/>
      <c r="Y24" s="6"/>
      <c r="Z24" s="6"/>
    </row>
    <row r="25" ht="45.0" customHeight="1">
      <c r="A25" s="276" t="s">
        <v>1595</v>
      </c>
      <c r="B25" s="277" t="s">
        <v>1596</v>
      </c>
      <c r="C25" s="278"/>
      <c r="D25" s="20"/>
      <c r="E25" s="20"/>
      <c r="F25" s="6"/>
      <c r="G25" s="6"/>
      <c r="H25" s="6"/>
      <c r="I25" s="6"/>
      <c r="J25" s="6"/>
      <c r="K25" s="6"/>
      <c r="L25" s="6"/>
      <c r="M25" s="6"/>
      <c r="N25" s="6"/>
      <c r="O25" s="6"/>
      <c r="P25" s="6"/>
      <c r="Q25" s="6"/>
      <c r="R25" s="6"/>
      <c r="S25" s="6"/>
      <c r="T25" s="6"/>
      <c r="U25" s="6"/>
      <c r="V25" s="6"/>
      <c r="W25" s="6"/>
      <c r="X25" s="6"/>
      <c r="Y25" s="6"/>
      <c r="Z25" s="6"/>
    </row>
    <row r="26" ht="45.0" customHeight="1">
      <c r="A26" s="276" t="s">
        <v>856</v>
      </c>
      <c r="B26" s="277" t="s">
        <v>1597</v>
      </c>
      <c r="C26" s="278"/>
      <c r="D26" s="20"/>
      <c r="E26" s="20"/>
      <c r="F26" s="6"/>
      <c r="G26" s="6"/>
      <c r="H26" s="6"/>
      <c r="I26" s="6"/>
      <c r="J26" s="6"/>
      <c r="K26" s="6"/>
      <c r="L26" s="6"/>
      <c r="M26" s="6"/>
      <c r="N26" s="6"/>
      <c r="O26" s="6"/>
      <c r="P26" s="6"/>
      <c r="Q26" s="6"/>
      <c r="R26" s="6"/>
      <c r="S26" s="6"/>
      <c r="T26" s="6"/>
      <c r="U26" s="6"/>
      <c r="V26" s="6"/>
      <c r="W26" s="6"/>
      <c r="X26" s="6"/>
      <c r="Y26" s="6"/>
      <c r="Z26" s="6"/>
    </row>
    <row r="27" ht="75.0" customHeight="1">
      <c r="A27" s="276" t="s">
        <v>840</v>
      </c>
      <c r="B27" s="277" t="s">
        <v>1598</v>
      </c>
      <c r="C27" s="278"/>
      <c r="D27" s="20"/>
      <c r="E27" s="20"/>
      <c r="F27" s="6"/>
      <c r="G27" s="6"/>
      <c r="H27" s="6"/>
      <c r="I27" s="6"/>
      <c r="J27" s="6"/>
      <c r="K27" s="6"/>
      <c r="L27" s="6"/>
      <c r="M27" s="6"/>
      <c r="N27" s="6"/>
      <c r="O27" s="6"/>
      <c r="P27" s="6"/>
      <c r="Q27" s="6"/>
      <c r="R27" s="6"/>
      <c r="S27" s="6"/>
      <c r="T27" s="6"/>
      <c r="U27" s="6"/>
      <c r="V27" s="6"/>
      <c r="W27" s="6"/>
      <c r="X27" s="6"/>
      <c r="Y27" s="6"/>
      <c r="Z27" s="6"/>
    </row>
    <row r="28" ht="75.0" customHeight="1">
      <c r="A28" s="276" t="s">
        <v>1599</v>
      </c>
      <c r="B28" s="277" t="s">
        <v>1600</v>
      </c>
      <c r="C28" s="278"/>
      <c r="D28" s="20"/>
      <c r="E28" s="20"/>
      <c r="F28" s="6"/>
      <c r="G28" s="6"/>
      <c r="H28" s="6"/>
      <c r="I28" s="6"/>
      <c r="J28" s="6"/>
      <c r="K28" s="6"/>
      <c r="L28" s="6"/>
      <c r="M28" s="6"/>
      <c r="N28" s="6"/>
      <c r="O28" s="6"/>
      <c r="P28" s="6"/>
      <c r="Q28" s="6"/>
      <c r="R28" s="6"/>
      <c r="S28" s="6"/>
      <c r="T28" s="6"/>
      <c r="U28" s="6"/>
      <c r="V28" s="6"/>
      <c r="W28" s="6"/>
      <c r="X28" s="6"/>
      <c r="Y28" s="6"/>
      <c r="Z28" s="6"/>
    </row>
    <row r="29" ht="60.0" customHeight="1">
      <c r="A29" s="276" t="s">
        <v>1601</v>
      </c>
      <c r="B29" s="277" t="s">
        <v>1602</v>
      </c>
      <c r="C29" s="278"/>
      <c r="D29" s="20"/>
      <c r="E29" s="20"/>
      <c r="F29" s="6"/>
      <c r="G29" s="6"/>
      <c r="H29" s="6"/>
      <c r="I29" s="6"/>
      <c r="J29" s="6"/>
      <c r="K29" s="6"/>
      <c r="L29" s="6"/>
      <c r="M29" s="6"/>
      <c r="N29" s="6"/>
      <c r="O29" s="6"/>
      <c r="P29" s="6"/>
      <c r="Q29" s="6"/>
      <c r="R29" s="6"/>
      <c r="S29" s="6"/>
      <c r="T29" s="6"/>
      <c r="U29" s="6"/>
      <c r="V29" s="6"/>
      <c r="W29" s="6"/>
      <c r="X29" s="6"/>
      <c r="Y29" s="6"/>
      <c r="Z29" s="6"/>
    </row>
    <row r="30" ht="75.0" customHeight="1">
      <c r="A30" s="276" t="s">
        <v>1143</v>
      </c>
      <c r="B30" s="277" t="s">
        <v>1603</v>
      </c>
      <c r="C30" s="278"/>
      <c r="D30" s="20"/>
      <c r="E30" s="20"/>
      <c r="F30" s="6"/>
      <c r="G30" s="6"/>
      <c r="H30" s="6"/>
      <c r="I30" s="6"/>
      <c r="J30" s="6"/>
      <c r="K30" s="6"/>
      <c r="L30" s="6"/>
      <c r="M30" s="6"/>
      <c r="N30" s="6"/>
      <c r="O30" s="6"/>
      <c r="P30" s="6"/>
      <c r="Q30" s="6"/>
      <c r="R30" s="6"/>
      <c r="S30" s="6"/>
      <c r="T30" s="6"/>
      <c r="U30" s="6"/>
      <c r="V30" s="6"/>
      <c r="W30" s="6"/>
      <c r="X30" s="6"/>
      <c r="Y30" s="6"/>
      <c r="Z30" s="6"/>
    </row>
    <row r="31" ht="105.0" customHeight="1">
      <c r="A31" s="276" t="s">
        <v>1604</v>
      </c>
      <c r="B31" s="277" t="s">
        <v>1605</v>
      </c>
      <c r="C31" s="278"/>
      <c r="D31" s="20"/>
      <c r="E31" s="20"/>
      <c r="F31" s="6"/>
      <c r="G31" s="6"/>
      <c r="H31" s="6"/>
      <c r="I31" s="6"/>
      <c r="J31" s="6"/>
      <c r="K31" s="6"/>
      <c r="L31" s="6"/>
      <c r="M31" s="6"/>
      <c r="N31" s="6"/>
      <c r="O31" s="6"/>
      <c r="P31" s="6"/>
      <c r="Q31" s="6"/>
      <c r="R31" s="6"/>
      <c r="S31" s="6"/>
      <c r="T31" s="6"/>
      <c r="U31" s="6"/>
      <c r="V31" s="6"/>
      <c r="W31" s="6"/>
      <c r="X31" s="6"/>
      <c r="Y31" s="6"/>
      <c r="Z31" s="6"/>
    </row>
    <row r="32" ht="60.0" customHeight="1">
      <c r="A32" s="276" t="s">
        <v>1090</v>
      </c>
      <c r="B32" s="277" t="s">
        <v>1606</v>
      </c>
      <c r="C32" s="278"/>
      <c r="D32" s="20"/>
      <c r="E32" s="20"/>
      <c r="F32" s="6"/>
      <c r="G32" s="6"/>
      <c r="H32" s="6"/>
      <c r="I32" s="6"/>
      <c r="J32" s="6"/>
      <c r="K32" s="6"/>
      <c r="L32" s="6"/>
      <c r="M32" s="6"/>
      <c r="N32" s="6"/>
      <c r="O32" s="6"/>
      <c r="P32" s="6"/>
      <c r="Q32" s="6"/>
      <c r="R32" s="6"/>
      <c r="S32" s="6"/>
      <c r="T32" s="6"/>
      <c r="U32" s="6"/>
      <c r="V32" s="6"/>
      <c r="W32" s="6"/>
      <c r="X32" s="6"/>
      <c r="Y32" s="6"/>
      <c r="Z32" s="6"/>
    </row>
    <row r="33" ht="75.0" customHeight="1">
      <c r="A33" s="276" t="s">
        <v>843</v>
      </c>
      <c r="B33" s="277" t="s">
        <v>1607</v>
      </c>
      <c r="C33" s="278"/>
      <c r="D33" s="20"/>
      <c r="E33" s="20"/>
      <c r="F33" s="6"/>
      <c r="G33" s="6"/>
      <c r="H33" s="6"/>
      <c r="I33" s="6"/>
      <c r="J33" s="6"/>
      <c r="K33" s="6"/>
      <c r="L33" s="6"/>
      <c r="M33" s="6"/>
      <c r="N33" s="6"/>
      <c r="O33" s="6"/>
      <c r="P33" s="6"/>
      <c r="Q33" s="6"/>
      <c r="R33" s="6"/>
      <c r="S33" s="6"/>
      <c r="T33" s="6"/>
      <c r="U33" s="6"/>
      <c r="V33" s="6"/>
      <c r="W33" s="6"/>
      <c r="X33" s="6"/>
      <c r="Y33" s="6"/>
      <c r="Z33" s="6"/>
    </row>
    <row r="34" ht="90.0" customHeight="1">
      <c r="A34" s="276" t="s">
        <v>1608</v>
      </c>
      <c r="B34" s="277" t="s">
        <v>1609</v>
      </c>
      <c r="C34" s="278"/>
      <c r="D34" s="20"/>
      <c r="E34" s="20"/>
      <c r="F34" s="6"/>
      <c r="G34" s="6"/>
      <c r="H34" s="6"/>
      <c r="I34" s="6"/>
      <c r="J34" s="6"/>
      <c r="K34" s="6"/>
      <c r="L34" s="6"/>
      <c r="M34" s="6"/>
      <c r="N34" s="6"/>
      <c r="O34" s="6"/>
      <c r="P34" s="6"/>
      <c r="Q34" s="6"/>
      <c r="R34" s="6"/>
      <c r="S34" s="6"/>
      <c r="T34" s="6"/>
      <c r="U34" s="6"/>
      <c r="V34" s="6"/>
      <c r="W34" s="6"/>
      <c r="X34" s="6"/>
      <c r="Y34" s="6"/>
      <c r="Z34" s="6"/>
    </row>
    <row r="35" ht="45.0" customHeight="1">
      <c r="A35" s="276" t="s">
        <v>1610</v>
      </c>
      <c r="B35" s="277" t="s">
        <v>1611</v>
      </c>
      <c r="C35" s="278"/>
      <c r="D35" s="20"/>
      <c r="E35" s="20"/>
      <c r="F35" s="6"/>
      <c r="G35" s="6"/>
      <c r="H35" s="6"/>
      <c r="I35" s="6"/>
      <c r="J35" s="6"/>
      <c r="K35" s="6"/>
      <c r="L35" s="6"/>
      <c r="M35" s="6"/>
      <c r="N35" s="6"/>
      <c r="O35" s="6"/>
      <c r="P35" s="6"/>
      <c r="Q35" s="6"/>
      <c r="R35" s="6"/>
      <c r="S35" s="6"/>
      <c r="T35" s="6"/>
      <c r="U35" s="6"/>
      <c r="V35" s="6"/>
      <c r="W35" s="6"/>
      <c r="X35" s="6"/>
      <c r="Y35" s="6"/>
      <c r="Z35" s="6"/>
    </row>
    <row r="36" ht="60.0" customHeight="1">
      <c r="A36" s="276" t="s">
        <v>1029</v>
      </c>
      <c r="B36" s="277" t="s">
        <v>1612</v>
      </c>
      <c r="C36" s="278"/>
      <c r="D36" s="20"/>
      <c r="E36" s="20"/>
      <c r="F36" s="6"/>
      <c r="G36" s="6"/>
      <c r="H36" s="6"/>
      <c r="I36" s="6"/>
      <c r="J36" s="6"/>
      <c r="K36" s="6"/>
      <c r="L36" s="6"/>
      <c r="M36" s="6"/>
      <c r="N36" s="6"/>
      <c r="O36" s="6"/>
      <c r="P36" s="6"/>
      <c r="Q36" s="6"/>
      <c r="R36" s="6"/>
      <c r="S36" s="6"/>
      <c r="T36" s="6"/>
      <c r="U36" s="6"/>
      <c r="V36" s="6"/>
      <c r="W36" s="6"/>
      <c r="X36" s="6"/>
      <c r="Y36" s="6"/>
      <c r="Z36" s="6"/>
    </row>
    <row r="37" ht="45.0" customHeight="1">
      <c r="A37" s="276" t="s">
        <v>898</v>
      </c>
      <c r="B37" s="277" t="s">
        <v>1613</v>
      </c>
      <c r="C37" s="278"/>
      <c r="D37" s="20"/>
      <c r="E37" s="20"/>
      <c r="F37" s="6"/>
      <c r="G37" s="6"/>
      <c r="H37" s="6"/>
      <c r="I37" s="6"/>
      <c r="J37" s="6"/>
      <c r="K37" s="6"/>
      <c r="L37" s="6"/>
      <c r="M37" s="6"/>
      <c r="N37" s="6"/>
      <c r="O37" s="6"/>
      <c r="P37" s="6"/>
      <c r="Q37" s="6"/>
      <c r="R37" s="6"/>
      <c r="S37" s="6"/>
      <c r="T37" s="6"/>
      <c r="U37" s="6"/>
      <c r="V37" s="6"/>
      <c r="W37" s="6"/>
      <c r="X37" s="6"/>
      <c r="Y37" s="6"/>
      <c r="Z37" s="6"/>
    </row>
    <row r="38" ht="60.0" customHeight="1">
      <c r="A38" s="276" t="s">
        <v>1614</v>
      </c>
      <c r="B38" s="277" t="s">
        <v>1615</v>
      </c>
      <c r="C38" s="278"/>
      <c r="D38" s="20"/>
      <c r="E38" s="20"/>
      <c r="F38" s="6"/>
      <c r="G38" s="6"/>
      <c r="H38" s="6"/>
      <c r="I38" s="6"/>
      <c r="J38" s="6"/>
      <c r="K38" s="6"/>
      <c r="L38" s="6"/>
      <c r="M38" s="6"/>
      <c r="N38" s="6"/>
      <c r="O38" s="6"/>
      <c r="P38" s="6"/>
      <c r="Q38" s="6"/>
      <c r="R38" s="6"/>
      <c r="S38" s="6"/>
      <c r="T38" s="6"/>
      <c r="U38" s="6"/>
      <c r="V38" s="6"/>
      <c r="W38" s="6"/>
      <c r="X38" s="6"/>
      <c r="Y38" s="6"/>
      <c r="Z38" s="6"/>
    </row>
    <row r="39" ht="75.0" customHeight="1">
      <c r="A39" s="276" t="s">
        <v>1616</v>
      </c>
      <c r="B39" s="277" t="s">
        <v>1617</v>
      </c>
      <c r="C39" s="278"/>
      <c r="D39" s="20"/>
      <c r="E39" s="20"/>
      <c r="F39" s="6"/>
      <c r="G39" s="6"/>
      <c r="H39" s="6"/>
      <c r="I39" s="6"/>
      <c r="J39" s="6"/>
      <c r="K39" s="6"/>
      <c r="L39" s="6"/>
      <c r="M39" s="6"/>
      <c r="N39" s="6"/>
      <c r="O39" s="6"/>
      <c r="P39" s="6"/>
      <c r="Q39" s="6"/>
      <c r="R39" s="6"/>
      <c r="S39" s="6"/>
      <c r="T39" s="6"/>
      <c r="U39" s="6"/>
      <c r="V39" s="6"/>
      <c r="W39" s="6"/>
      <c r="X39" s="6"/>
      <c r="Y39" s="6"/>
      <c r="Z39" s="6"/>
    </row>
    <row r="40" ht="75.0" customHeight="1">
      <c r="A40" s="276" t="s">
        <v>947</v>
      </c>
      <c r="B40" s="277" t="s">
        <v>1618</v>
      </c>
      <c r="C40" s="278"/>
      <c r="D40" s="20"/>
      <c r="E40" s="20"/>
      <c r="F40" s="6"/>
      <c r="G40" s="6"/>
      <c r="H40" s="6"/>
      <c r="I40" s="6"/>
      <c r="J40" s="6"/>
      <c r="K40" s="6"/>
      <c r="L40" s="6"/>
      <c r="M40" s="6"/>
      <c r="N40" s="6"/>
      <c r="O40" s="6"/>
      <c r="P40" s="6"/>
      <c r="Q40" s="6"/>
      <c r="R40" s="6"/>
      <c r="S40" s="6"/>
      <c r="T40" s="6"/>
      <c r="U40" s="6"/>
      <c r="V40" s="6"/>
      <c r="W40" s="6"/>
      <c r="X40" s="6"/>
      <c r="Y40" s="6"/>
      <c r="Z40" s="6"/>
    </row>
    <row r="41" ht="45.0" customHeight="1">
      <c r="A41" s="276" t="s">
        <v>968</v>
      </c>
      <c r="B41" s="277" t="s">
        <v>1619</v>
      </c>
      <c r="C41" s="278"/>
      <c r="D41" s="20"/>
      <c r="E41" s="20"/>
      <c r="F41" s="6"/>
      <c r="G41" s="6"/>
      <c r="H41" s="6"/>
      <c r="I41" s="6"/>
      <c r="J41" s="6"/>
      <c r="K41" s="6"/>
      <c r="L41" s="6"/>
      <c r="M41" s="6"/>
      <c r="N41" s="6"/>
      <c r="O41" s="6"/>
      <c r="P41" s="6"/>
      <c r="Q41" s="6"/>
      <c r="R41" s="6"/>
      <c r="S41" s="6"/>
      <c r="T41" s="6"/>
      <c r="U41" s="6"/>
      <c r="V41" s="6"/>
      <c r="W41" s="6"/>
      <c r="X41" s="6"/>
      <c r="Y41" s="6"/>
      <c r="Z41" s="6"/>
    </row>
    <row r="42" ht="45.0" customHeight="1">
      <c r="A42" s="276" t="s">
        <v>989</v>
      </c>
      <c r="B42" s="277" t="s">
        <v>1620</v>
      </c>
      <c r="C42" s="278"/>
      <c r="D42" s="20"/>
      <c r="E42" s="20"/>
      <c r="F42" s="6"/>
      <c r="G42" s="6"/>
      <c r="H42" s="6"/>
      <c r="I42" s="6"/>
      <c r="J42" s="6"/>
      <c r="K42" s="6"/>
      <c r="L42" s="6"/>
      <c r="M42" s="6"/>
      <c r="N42" s="6"/>
      <c r="O42" s="6"/>
      <c r="P42" s="6"/>
      <c r="Q42" s="6"/>
      <c r="R42" s="6"/>
      <c r="S42" s="6"/>
      <c r="T42" s="6"/>
      <c r="U42" s="6"/>
      <c r="V42" s="6"/>
      <c r="W42" s="6"/>
      <c r="X42" s="6"/>
      <c r="Y42" s="6"/>
      <c r="Z42" s="6"/>
    </row>
    <row r="43" ht="45.0" customHeight="1">
      <c r="A43" s="276" t="s">
        <v>1044</v>
      </c>
      <c r="B43" s="277" t="s">
        <v>1621</v>
      </c>
      <c r="C43" s="278"/>
      <c r="D43" s="20"/>
      <c r="E43" s="20"/>
      <c r="F43" s="6"/>
      <c r="G43" s="6"/>
      <c r="H43" s="6"/>
      <c r="I43" s="6"/>
      <c r="J43" s="6"/>
      <c r="K43" s="6"/>
      <c r="L43" s="6"/>
      <c r="M43" s="6"/>
      <c r="N43" s="6"/>
      <c r="O43" s="6"/>
      <c r="P43" s="6"/>
      <c r="Q43" s="6"/>
      <c r="R43" s="6"/>
      <c r="S43" s="6"/>
      <c r="T43" s="6"/>
      <c r="U43" s="6"/>
      <c r="V43" s="6"/>
      <c r="W43" s="6"/>
      <c r="X43" s="6"/>
      <c r="Y43" s="6"/>
      <c r="Z43" s="6"/>
    </row>
    <row r="44" ht="60.0" customHeight="1">
      <c r="A44" s="276" t="s">
        <v>1622</v>
      </c>
      <c r="B44" s="277" t="s">
        <v>1623</v>
      </c>
      <c r="C44" s="278"/>
      <c r="D44" s="20"/>
      <c r="E44" s="20"/>
      <c r="F44" s="6"/>
      <c r="G44" s="6"/>
      <c r="H44" s="6"/>
      <c r="I44" s="6"/>
      <c r="J44" s="6"/>
      <c r="K44" s="6"/>
      <c r="L44" s="6"/>
      <c r="M44" s="6"/>
      <c r="N44" s="6"/>
      <c r="O44" s="6"/>
      <c r="P44" s="6"/>
      <c r="Q44" s="6"/>
      <c r="R44" s="6"/>
      <c r="S44" s="6"/>
      <c r="T44" s="6"/>
      <c r="U44" s="6"/>
      <c r="V44" s="6"/>
      <c r="W44" s="6"/>
      <c r="X44" s="6"/>
      <c r="Y44" s="6"/>
      <c r="Z44" s="6"/>
    </row>
    <row r="45" ht="90.0" customHeight="1">
      <c r="A45" s="276" t="s">
        <v>999</v>
      </c>
      <c r="B45" s="277" t="s">
        <v>1624</v>
      </c>
      <c r="C45" s="278"/>
      <c r="D45" s="20"/>
      <c r="E45" s="20"/>
      <c r="F45" s="6"/>
      <c r="G45" s="6"/>
      <c r="H45" s="6"/>
      <c r="I45" s="6"/>
      <c r="J45" s="6"/>
      <c r="K45" s="6"/>
      <c r="L45" s="6"/>
      <c r="M45" s="6"/>
      <c r="N45" s="6"/>
      <c r="O45" s="6"/>
      <c r="P45" s="6"/>
      <c r="Q45" s="6"/>
      <c r="R45" s="6"/>
      <c r="S45" s="6"/>
      <c r="T45" s="6"/>
      <c r="U45" s="6"/>
      <c r="V45" s="6"/>
      <c r="W45" s="6"/>
      <c r="X45" s="6"/>
      <c r="Y45" s="6"/>
      <c r="Z45" s="6"/>
    </row>
    <row r="46" ht="45.0" customHeight="1">
      <c r="A46" s="276" t="s">
        <v>1625</v>
      </c>
      <c r="B46" s="277" t="s">
        <v>1626</v>
      </c>
      <c r="C46" s="278"/>
      <c r="D46" s="20"/>
      <c r="E46" s="20"/>
      <c r="F46" s="6"/>
      <c r="G46" s="6"/>
      <c r="H46" s="6"/>
      <c r="I46" s="6"/>
      <c r="J46" s="6"/>
      <c r="K46" s="6"/>
      <c r="L46" s="6"/>
      <c r="M46" s="6"/>
      <c r="N46" s="6"/>
      <c r="O46" s="6"/>
      <c r="P46" s="6"/>
      <c r="Q46" s="6"/>
      <c r="R46" s="6"/>
      <c r="S46" s="6"/>
      <c r="T46" s="6"/>
      <c r="U46" s="6"/>
      <c r="V46" s="6"/>
      <c r="W46" s="6"/>
      <c r="X46" s="6"/>
      <c r="Y46" s="6"/>
      <c r="Z46" s="6"/>
    </row>
    <row r="47" ht="60.0" customHeight="1">
      <c r="A47" s="276" t="s">
        <v>1627</v>
      </c>
      <c r="B47" s="277" t="s">
        <v>1628</v>
      </c>
      <c r="C47" s="278"/>
      <c r="D47" s="20"/>
      <c r="E47" s="20"/>
      <c r="F47" s="6"/>
      <c r="G47" s="6"/>
      <c r="H47" s="6"/>
      <c r="I47" s="6"/>
      <c r="J47" s="6"/>
      <c r="K47" s="6"/>
      <c r="L47" s="6"/>
      <c r="M47" s="6"/>
      <c r="N47" s="6"/>
      <c r="O47" s="6"/>
      <c r="P47" s="6"/>
      <c r="Q47" s="6"/>
      <c r="R47" s="6"/>
      <c r="S47" s="6"/>
      <c r="T47" s="6"/>
      <c r="U47" s="6"/>
      <c r="V47" s="6"/>
      <c r="W47" s="6"/>
      <c r="X47" s="6"/>
      <c r="Y47" s="6"/>
      <c r="Z47" s="6"/>
    </row>
    <row r="48" ht="45.0" customHeight="1">
      <c r="A48" s="276" t="s">
        <v>998</v>
      </c>
      <c r="B48" s="277" t="s">
        <v>1629</v>
      </c>
      <c r="C48" s="278"/>
      <c r="D48" s="20"/>
      <c r="E48" s="20"/>
      <c r="F48" s="6"/>
      <c r="G48" s="6"/>
      <c r="H48" s="6"/>
      <c r="I48" s="6"/>
      <c r="J48" s="6"/>
      <c r="K48" s="6"/>
      <c r="L48" s="6"/>
      <c r="M48" s="6"/>
      <c r="N48" s="6"/>
      <c r="O48" s="6"/>
      <c r="P48" s="6"/>
      <c r="Q48" s="6"/>
      <c r="R48" s="6"/>
      <c r="S48" s="6"/>
      <c r="T48" s="6"/>
      <c r="U48" s="6"/>
      <c r="V48" s="6"/>
      <c r="W48" s="6"/>
      <c r="X48" s="6"/>
      <c r="Y48" s="6"/>
      <c r="Z48" s="6"/>
    </row>
    <row r="49" ht="30.0" customHeight="1">
      <c r="A49" s="276" t="s">
        <v>1630</v>
      </c>
      <c r="B49" s="277" t="s">
        <v>1631</v>
      </c>
      <c r="C49" s="278"/>
      <c r="D49" s="20"/>
      <c r="E49" s="20"/>
      <c r="F49" s="6"/>
      <c r="G49" s="6"/>
      <c r="H49" s="6"/>
      <c r="I49" s="6"/>
      <c r="J49" s="6"/>
      <c r="K49" s="6"/>
      <c r="L49" s="6"/>
      <c r="M49" s="6"/>
      <c r="N49" s="6"/>
      <c r="O49" s="6"/>
      <c r="P49" s="6"/>
      <c r="Q49" s="6"/>
      <c r="R49" s="6"/>
      <c r="S49" s="6"/>
      <c r="T49" s="6"/>
      <c r="U49" s="6"/>
      <c r="V49" s="6"/>
      <c r="W49" s="6"/>
      <c r="X49" s="6"/>
      <c r="Y49" s="6"/>
      <c r="Z49" s="6"/>
    </row>
    <row r="50" ht="30.0" customHeight="1">
      <c r="A50" s="276" t="s">
        <v>1632</v>
      </c>
      <c r="B50" s="277" t="s">
        <v>1633</v>
      </c>
      <c r="C50" s="278"/>
      <c r="D50" s="20"/>
      <c r="E50" s="20"/>
      <c r="F50" s="6"/>
      <c r="G50" s="6"/>
      <c r="H50" s="6"/>
      <c r="I50" s="6"/>
      <c r="J50" s="6"/>
      <c r="K50" s="6"/>
      <c r="L50" s="6"/>
      <c r="M50" s="6"/>
      <c r="N50" s="6"/>
      <c r="O50" s="6"/>
      <c r="P50" s="6"/>
      <c r="Q50" s="6"/>
      <c r="R50" s="6"/>
      <c r="S50" s="6"/>
      <c r="T50" s="6"/>
      <c r="U50" s="6"/>
      <c r="V50" s="6"/>
      <c r="W50" s="6"/>
      <c r="X50" s="6"/>
      <c r="Y50" s="6"/>
      <c r="Z50" s="6"/>
    </row>
    <row r="51" ht="45.0" customHeight="1">
      <c r="A51" s="276" t="s">
        <v>1634</v>
      </c>
      <c r="B51" s="277" t="s">
        <v>1635</v>
      </c>
      <c r="C51" s="278"/>
      <c r="D51" s="20"/>
      <c r="E51" s="20"/>
      <c r="F51" s="6"/>
      <c r="G51" s="6"/>
      <c r="H51" s="6"/>
      <c r="I51" s="6"/>
      <c r="J51" s="6"/>
      <c r="K51" s="6"/>
      <c r="L51" s="6"/>
      <c r="M51" s="6"/>
      <c r="N51" s="6"/>
      <c r="O51" s="6"/>
      <c r="P51" s="6"/>
      <c r="Q51" s="6"/>
      <c r="R51" s="6"/>
      <c r="S51" s="6"/>
      <c r="T51" s="6"/>
      <c r="U51" s="6"/>
      <c r="V51" s="6"/>
      <c r="W51" s="6"/>
      <c r="X51" s="6"/>
      <c r="Y51" s="6"/>
      <c r="Z51" s="6"/>
    </row>
    <row r="52" ht="30.0" customHeight="1">
      <c r="A52" s="276" t="s">
        <v>1636</v>
      </c>
      <c r="B52" s="277" t="s">
        <v>1637</v>
      </c>
      <c r="C52" s="278"/>
      <c r="D52" s="20"/>
      <c r="E52" s="20"/>
      <c r="F52" s="6"/>
      <c r="G52" s="6"/>
      <c r="H52" s="6"/>
      <c r="I52" s="6"/>
      <c r="J52" s="6"/>
      <c r="K52" s="6"/>
      <c r="L52" s="6"/>
      <c r="M52" s="6"/>
      <c r="N52" s="6"/>
      <c r="O52" s="6"/>
      <c r="P52" s="6"/>
      <c r="Q52" s="6"/>
      <c r="R52" s="6"/>
      <c r="S52" s="6"/>
      <c r="T52" s="6"/>
      <c r="U52" s="6"/>
      <c r="V52" s="6"/>
      <c r="W52" s="6"/>
      <c r="X52" s="6"/>
      <c r="Y52" s="6"/>
      <c r="Z52" s="6"/>
    </row>
    <row r="53" ht="75.0" customHeight="1">
      <c r="A53" s="276" t="s">
        <v>851</v>
      </c>
      <c r="B53" s="277" t="s">
        <v>1638</v>
      </c>
      <c r="C53" s="278"/>
      <c r="D53" s="20"/>
      <c r="E53" s="20"/>
      <c r="F53" s="6"/>
      <c r="G53" s="6"/>
      <c r="H53" s="6"/>
      <c r="I53" s="6"/>
      <c r="J53" s="6"/>
      <c r="K53" s="6"/>
      <c r="L53" s="6"/>
      <c r="M53" s="6"/>
      <c r="N53" s="6"/>
      <c r="O53" s="6"/>
      <c r="P53" s="6"/>
      <c r="Q53" s="6"/>
      <c r="R53" s="6"/>
      <c r="S53" s="6"/>
      <c r="T53" s="6"/>
      <c r="U53" s="6"/>
      <c r="V53" s="6"/>
      <c r="W53" s="6"/>
      <c r="X53" s="6"/>
      <c r="Y53" s="6"/>
      <c r="Z53" s="6"/>
    </row>
    <row r="54" ht="75.0" customHeight="1">
      <c r="A54" s="276" t="s">
        <v>1639</v>
      </c>
      <c r="B54" s="277" t="s">
        <v>1640</v>
      </c>
      <c r="C54" s="278"/>
      <c r="D54" s="20"/>
      <c r="E54" s="20"/>
      <c r="F54" s="6"/>
      <c r="G54" s="6"/>
      <c r="H54" s="6"/>
      <c r="I54" s="6"/>
      <c r="J54" s="6"/>
      <c r="K54" s="6"/>
      <c r="L54" s="6"/>
      <c r="M54" s="6"/>
      <c r="N54" s="6"/>
      <c r="O54" s="6"/>
      <c r="P54" s="6"/>
      <c r="Q54" s="6"/>
      <c r="R54" s="6"/>
      <c r="S54" s="6"/>
      <c r="T54" s="6"/>
      <c r="U54" s="6"/>
      <c r="V54" s="6"/>
      <c r="W54" s="6"/>
      <c r="X54" s="6"/>
      <c r="Y54" s="6"/>
      <c r="Z54" s="6"/>
    </row>
    <row r="55" ht="45.0" customHeight="1">
      <c r="A55" s="276" t="s">
        <v>1641</v>
      </c>
      <c r="B55" s="277" t="s">
        <v>1642</v>
      </c>
      <c r="C55" s="278"/>
      <c r="D55" s="20"/>
      <c r="E55" s="20"/>
      <c r="F55" s="6"/>
      <c r="G55" s="6"/>
      <c r="H55" s="6"/>
      <c r="I55" s="6"/>
      <c r="J55" s="6"/>
      <c r="K55" s="6"/>
      <c r="L55" s="6"/>
      <c r="M55" s="6"/>
      <c r="N55" s="6"/>
      <c r="O55" s="6"/>
      <c r="P55" s="6"/>
      <c r="Q55" s="6"/>
      <c r="R55" s="6"/>
      <c r="S55" s="6"/>
      <c r="T55" s="6"/>
      <c r="U55" s="6"/>
      <c r="V55" s="6"/>
      <c r="W55" s="6"/>
      <c r="X55" s="6"/>
      <c r="Y55" s="6"/>
      <c r="Z55" s="6"/>
    </row>
    <row r="56" ht="60.0" customHeight="1">
      <c r="A56" s="276" t="s">
        <v>1643</v>
      </c>
      <c r="B56" s="277" t="s">
        <v>1644</v>
      </c>
      <c r="C56" s="278"/>
      <c r="D56" s="20"/>
      <c r="E56" s="20"/>
      <c r="F56" s="6"/>
      <c r="G56" s="6"/>
      <c r="H56" s="6"/>
      <c r="I56" s="6"/>
      <c r="J56" s="6"/>
      <c r="K56" s="6"/>
      <c r="L56" s="6"/>
      <c r="M56" s="6"/>
      <c r="N56" s="6"/>
      <c r="O56" s="6"/>
      <c r="P56" s="6"/>
      <c r="Q56" s="6"/>
      <c r="R56" s="6"/>
      <c r="S56" s="6"/>
      <c r="T56" s="6"/>
      <c r="U56" s="6"/>
      <c r="V56" s="6"/>
      <c r="W56" s="6"/>
      <c r="X56" s="6"/>
      <c r="Y56" s="6"/>
      <c r="Z56" s="6"/>
    </row>
    <row r="57" ht="75.0" customHeight="1">
      <c r="A57" s="276" t="s">
        <v>868</v>
      </c>
      <c r="B57" s="277" t="s">
        <v>1645</v>
      </c>
      <c r="C57" s="278"/>
      <c r="D57" s="20"/>
      <c r="E57" s="20"/>
      <c r="F57" s="6"/>
      <c r="G57" s="6"/>
      <c r="H57" s="6"/>
      <c r="I57" s="6"/>
      <c r="J57" s="6"/>
      <c r="K57" s="6"/>
      <c r="L57" s="6"/>
      <c r="M57" s="6"/>
      <c r="N57" s="6"/>
      <c r="O57" s="6"/>
      <c r="P57" s="6"/>
      <c r="Q57" s="6"/>
      <c r="R57" s="6"/>
      <c r="S57" s="6"/>
      <c r="T57" s="6"/>
      <c r="U57" s="6"/>
      <c r="V57" s="6"/>
      <c r="W57" s="6"/>
      <c r="X57" s="6"/>
      <c r="Y57" s="6"/>
      <c r="Z57" s="6"/>
    </row>
    <row r="58" ht="45.0" customHeight="1">
      <c r="A58" s="276" t="s">
        <v>923</v>
      </c>
      <c r="B58" s="277" t="s">
        <v>1646</v>
      </c>
      <c r="C58" s="278"/>
      <c r="D58" s="20"/>
      <c r="E58" s="20"/>
      <c r="F58" s="6"/>
      <c r="G58" s="6"/>
      <c r="H58" s="6"/>
      <c r="I58" s="6"/>
      <c r="J58" s="6"/>
      <c r="K58" s="6"/>
      <c r="L58" s="6"/>
      <c r="M58" s="6"/>
      <c r="N58" s="6"/>
      <c r="O58" s="6"/>
      <c r="P58" s="6"/>
      <c r="Q58" s="6"/>
      <c r="R58" s="6"/>
      <c r="S58" s="6"/>
      <c r="T58" s="6"/>
      <c r="U58" s="6"/>
      <c r="V58" s="6"/>
      <c r="W58" s="6"/>
      <c r="X58" s="6"/>
      <c r="Y58" s="6"/>
      <c r="Z58" s="6"/>
    </row>
    <row r="59" ht="45.0" customHeight="1">
      <c r="A59" s="276" t="s">
        <v>1647</v>
      </c>
      <c r="B59" s="277" t="s">
        <v>1648</v>
      </c>
      <c r="C59" s="278"/>
      <c r="D59" s="20"/>
      <c r="E59" s="20"/>
      <c r="F59" s="6"/>
      <c r="G59" s="6"/>
      <c r="H59" s="6"/>
      <c r="I59" s="6"/>
      <c r="J59" s="6"/>
      <c r="K59" s="6"/>
      <c r="L59" s="6"/>
      <c r="M59" s="6"/>
      <c r="N59" s="6"/>
      <c r="O59" s="6"/>
      <c r="P59" s="6"/>
      <c r="Q59" s="6"/>
      <c r="R59" s="6"/>
      <c r="S59" s="6"/>
      <c r="T59" s="6"/>
      <c r="U59" s="6"/>
      <c r="V59" s="6"/>
      <c r="W59" s="6"/>
      <c r="X59" s="6"/>
      <c r="Y59" s="6"/>
      <c r="Z59" s="6"/>
    </row>
    <row r="60" ht="135.0" customHeight="1">
      <c r="A60" s="276" t="s">
        <v>871</v>
      </c>
      <c r="B60" s="277" t="s">
        <v>1649</v>
      </c>
      <c r="C60" s="278"/>
      <c r="D60" s="20"/>
      <c r="E60" s="20"/>
      <c r="F60" s="6"/>
      <c r="G60" s="6"/>
      <c r="H60" s="6"/>
      <c r="I60" s="6"/>
      <c r="J60" s="6"/>
      <c r="K60" s="6"/>
      <c r="L60" s="6"/>
      <c r="M60" s="6"/>
      <c r="N60" s="6"/>
      <c r="O60" s="6"/>
      <c r="P60" s="6"/>
      <c r="Q60" s="6"/>
      <c r="R60" s="6"/>
      <c r="S60" s="6"/>
      <c r="T60" s="6"/>
      <c r="U60" s="6"/>
      <c r="V60" s="6"/>
      <c r="W60" s="6"/>
      <c r="X60" s="6"/>
      <c r="Y60" s="6"/>
      <c r="Z60" s="6"/>
    </row>
    <row r="61" ht="45.0" customHeight="1">
      <c r="A61" s="276" t="s">
        <v>1650</v>
      </c>
      <c r="B61" s="277" t="s">
        <v>1651</v>
      </c>
      <c r="C61" s="278"/>
      <c r="D61" s="20"/>
      <c r="E61" s="20"/>
      <c r="F61" s="6"/>
      <c r="G61" s="6"/>
      <c r="H61" s="6"/>
      <c r="I61" s="6"/>
      <c r="J61" s="6"/>
      <c r="K61" s="6"/>
      <c r="L61" s="6"/>
      <c r="M61" s="6"/>
      <c r="N61" s="6"/>
      <c r="O61" s="6"/>
      <c r="P61" s="6"/>
      <c r="Q61" s="6"/>
      <c r="R61" s="6"/>
      <c r="S61" s="6"/>
      <c r="T61" s="6"/>
      <c r="U61" s="6"/>
      <c r="V61" s="6"/>
      <c r="W61" s="6"/>
      <c r="X61" s="6"/>
      <c r="Y61" s="6"/>
      <c r="Z61" s="6"/>
    </row>
    <row r="62" ht="30.0" customHeight="1">
      <c r="A62" s="276" t="s">
        <v>960</v>
      </c>
      <c r="B62" s="277" t="s">
        <v>1652</v>
      </c>
      <c r="C62" s="278"/>
      <c r="D62" s="20"/>
      <c r="E62" s="20"/>
      <c r="F62" s="6"/>
      <c r="G62" s="6"/>
      <c r="H62" s="6"/>
      <c r="I62" s="6"/>
      <c r="J62" s="6"/>
      <c r="K62" s="6"/>
      <c r="L62" s="6"/>
      <c r="M62" s="6"/>
      <c r="N62" s="6"/>
      <c r="O62" s="6"/>
      <c r="P62" s="6"/>
      <c r="Q62" s="6"/>
      <c r="R62" s="6"/>
      <c r="S62" s="6"/>
      <c r="T62" s="6"/>
      <c r="U62" s="6"/>
      <c r="V62" s="6"/>
      <c r="W62" s="6"/>
      <c r="X62" s="6"/>
      <c r="Y62" s="6"/>
      <c r="Z62" s="6"/>
    </row>
    <row r="63" ht="30.0" customHeight="1">
      <c r="A63" s="276" t="s">
        <v>1013</v>
      </c>
      <c r="B63" s="277" t="s">
        <v>1653</v>
      </c>
      <c r="C63" s="278"/>
      <c r="D63" s="20"/>
      <c r="E63" s="20"/>
      <c r="F63" s="6"/>
      <c r="G63" s="6"/>
      <c r="H63" s="6"/>
      <c r="I63" s="6"/>
      <c r="J63" s="6"/>
      <c r="K63" s="6"/>
      <c r="L63" s="6"/>
      <c r="M63" s="6"/>
      <c r="N63" s="6"/>
      <c r="O63" s="6"/>
      <c r="P63" s="6"/>
      <c r="Q63" s="6"/>
      <c r="R63" s="6"/>
      <c r="S63" s="6"/>
      <c r="T63" s="6"/>
      <c r="U63" s="6"/>
      <c r="V63" s="6"/>
      <c r="W63" s="6"/>
      <c r="X63" s="6"/>
      <c r="Y63" s="6"/>
      <c r="Z63" s="6"/>
    </row>
    <row r="64" ht="60.0" customHeight="1">
      <c r="A64" s="276" t="s">
        <v>1654</v>
      </c>
      <c r="B64" s="277" t="s">
        <v>1655</v>
      </c>
      <c r="C64" s="278"/>
      <c r="D64" s="20"/>
      <c r="E64" s="20"/>
      <c r="F64" s="6"/>
      <c r="G64" s="6"/>
      <c r="H64" s="6"/>
      <c r="I64" s="6"/>
      <c r="J64" s="6"/>
      <c r="K64" s="6"/>
      <c r="L64" s="6"/>
      <c r="M64" s="6"/>
      <c r="N64" s="6"/>
      <c r="O64" s="6"/>
      <c r="P64" s="6"/>
      <c r="Q64" s="6"/>
      <c r="R64" s="6"/>
      <c r="S64" s="6"/>
      <c r="T64" s="6"/>
      <c r="U64" s="6"/>
      <c r="V64" s="6"/>
      <c r="W64" s="6"/>
      <c r="X64" s="6"/>
      <c r="Y64" s="6"/>
      <c r="Z64" s="6"/>
    </row>
    <row r="65" ht="60.0" customHeight="1">
      <c r="A65" s="276" t="s">
        <v>1656</v>
      </c>
      <c r="B65" s="277" t="s">
        <v>1657</v>
      </c>
      <c r="C65" s="278"/>
      <c r="D65" s="20"/>
      <c r="E65" s="20"/>
      <c r="F65" s="6"/>
      <c r="G65" s="6"/>
      <c r="H65" s="6"/>
      <c r="I65" s="6"/>
      <c r="J65" s="6"/>
      <c r="K65" s="6"/>
      <c r="L65" s="6"/>
      <c r="M65" s="6"/>
      <c r="N65" s="6"/>
      <c r="O65" s="6"/>
      <c r="P65" s="6"/>
      <c r="Q65" s="6"/>
      <c r="R65" s="6"/>
      <c r="S65" s="6"/>
      <c r="T65" s="6"/>
      <c r="U65" s="6"/>
      <c r="V65" s="6"/>
      <c r="W65" s="6"/>
      <c r="X65" s="6"/>
      <c r="Y65" s="6"/>
      <c r="Z65" s="6"/>
    </row>
    <row r="66" ht="45.0" customHeight="1">
      <c r="A66" s="276" t="s">
        <v>1658</v>
      </c>
      <c r="B66" s="277" t="s">
        <v>1659</v>
      </c>
      <c r="C66" s="278"/>
      <c r="D66" s="20"/>
      <c r="E66" s="20"/>
      <c r="F66" s="6"/>
      <c r="G66" s="6"/>
      <c r="H66" s="6"/>
      <c r="I66" s="6"/>
      <c r="J66" s="6"/>
      <c r="K66" s="6"/>
      <c r="L66" s="6"/>
      <c r="M66" s="6"/>
      <c r="N66" s="6"/>
      <c r="O66" s="6"/>
      <c r="P66" s="6"/>
      <c r="Q66" s="6"/>
      <c r="R66" s="6"/>
      <c r="S66" s="6"/>
      <c r="T66" s="6"/>
      <c r="U66" s="6"/>
      <c r="V66" s="6"/>
      <c r="W66" s="6"/>
      <c r="X66" s="6"/>
      <c r="Y66" s="6"/>
      <c r="Z66" s="6"/>
    </row>
    <row r="67" ht="75.0" customHeight="1">
      <c r="A67" s="276" t="s">
        <v>865</v>
      </c>
      <c r="B67" s="277" t="s">
        <v>1660</v>
      </c>
      <c r="C67" s="278"/>
      <c r="D67" s="20"/>
      <c r="E67" s="20"/>
      <c r="F67" s="6"/>
      <c r="G67" s="6"/>
      <c r="H67" s="6"/>
      <c r="I67" s="6"/>
      <c r="J67" s="6"/>
      <c r="K67" s="6"/>
      <c r="L67" s="6"/>
      <c r="M67" s="6"/>
      <c r="N67" s="6"/>
      <c r="O67" s="6"/>
      <c r="P67" s="6"/>
      <c r="Q67" s="6"/>
      <c r="R67" s="6"/>
      <c r="S67" s="6"/>
      <c r="T67" s="6"/>
      <c r="U67" s="6"/>
      <c r="V67" s="6"/>
      <c r="W67" s="6"/>
      <c r="X67" s="6"/>
      <c r="Y67" s="6"/>
      <c r="Z67" s="6"/>
    </row>
    <row r="68" ht="75.0" customHeight="1">
      <c r="A68" s="276" t="s">
        <v>935</v>
      </c>
      <c r="B68" s="277" t="s">
        <v>1661</v>
      </c>
      <c r="C68" s="278"/>
      <c r="D68" s="20"/>
      <c r="E68" s="20"/>
      <c r="F68" s="6"/>
      <c r="G68" s="6"/>
      <c r="H68" s="6"/>
      <c r="I68" s="6"/>
      <c r="J68" s="6"/>
      <c r="K68" s="6"/>
      <c r="L68" s="6"/>
      <c r="M68" s="6"/>
      <c r="N68" s="6"/>
      <c r="O68" s="6"/>
      <c r="P68" s="6"/>
      <c r="Q68" s="6"/>
      <c r="R68" s="6"/>
      <c r="S68" s="6"/>
      <c r="T68" s="6"/>
      <c r="U68" s="6"/>
      <c r="V68" s="6"/>
      <c r="W68" s="6"/>
      <c r="X68" s="6"/>
      <c r="Y68" s="6"/>
      <c r="Z68" s="6"/>
    </row>
    <row r="69" ht="60.0" customHeight="1">
      <c r="A69" s="276" t="s">
        <v>1662</v>
      </c>
      <c r="B69" s="277" t="s">
        <v>1663</v>
      </c>
      <c r="C69" s="278"/>
      <c r="D69" s="20"/>
      <c r="E69" s="20"/>
      <c r="F69" s="6"/>
      <c r="G69" s="6"/>
      <c r="H69" s="6"/>
      <c r="I69" s="6"/>
      <c r="J69" s="6"/>
      <c r="K69" s="6"/>
      <c r="L69" s="6"/>
      <c r="M69" s="6"/>
      <c r="N69" s="6"/>
      <c r="O69" s="6"/>
      <c r="P69" s="6"/>
      <c r="Q69" s="6"/>
      <c r="R69" s="6"/>
      <c r="S69" s="6"/>
      <c r="T69" s="6"/>
      <c r="U69" s="6"/>
      <c r="V69" s="6"/>
      <c r="W69" s="6"/>
      <c r="X69" s="6"/>
      <c r="Y69" s="6"/>
      <c r="Z69" s="6"/>
    </row>
    <row r="70" ht="60.0" customHeight="1">
      <c r="A70" s="276" t="s">
        <v>1093</v>
      </c>
      <c r="B70" s="277" t="s">
        <v>1664</v>
      </c>
      <c r="C70" s="278"/>
      <c r="D70" s="20"/>
      <c r="E70" s="20"/>
      <c r="F70" s="6"/>
      <c r="G70" s="6"/>
      <c r="H70" s="6"/>
      <c r="I70" s="6"/>
      <c r="J70" s="6"/>
      <c r="K70" s="6"/>
      <c r="L70" s="6"/>
      <c r="M70" s="6"/>
      <c r="N70" s="6"/>
      <c r="O70" s="6"/>
      <c r="P70" s="6"/>
      <c r="Q70" s="6"/>
      <c r="R70" s="6"/>
      <c r="S70" s="6"/>
      <c r="T70" s="6"/>
      <c r="U70" s="6"/>
      <c r="V70" s="6"/>
      <c r="W70" s="6"/>
      <c r="X70" s="6"/>
      <c r="Y70" s="6"/>
      <c r="Z70" s="6"/>
    </row>
    <row r="71" ht="30.0" customHeight="1">
      <c r="A71" s="276" t="s">
        <v>1006</v>
      </c>
      <c r="B71" s="277" t="s">
        <v>1665</v>
      </c>
      <c r="C71" s="278"/>
      <c r="D71" s="20"/>
      <c r="E71" s="20"/>
      <c r="F71" s="6"/>
      <c r="G71" s="6"/>
      <c r="H71" s="6"/>
      <c r="I71" s="6"/>
      <c r="J71" s="6"/>
      <c r="K71" s="6"/>
      <c r="L71" s="6"/>
      <c r="M71" s="6"/>
      <c r="N71" s="6"/>
      <c r="O71" s="6"/>
      <c r="P71" s="6"/>
      <c r="Q71" s="6"/>
      <c r="R71" s="6"/>
      <c r="S71" s="6"/>
      <c r="T71" s="6"/>
      <c r="U71" s="6"/>
      <c r="V71" s="6"/>
      <c r="W71" s="6"/>
      <c r="X71" s="6"/>
      <c r="Y71" s="6"/>
      <c r="Z71" s="6"/>
    </row>
    <row r="72" ht="45.0" customHeight="1">
      <c r="A72" s="276" t="s">
        <v>992</v>
      </c>
      <c r="B72" s="277" t="s">
        <v>1666</v>
      </c>
      <c r="C72" s="278"/>
      <c r="D72" s="20"/>
      <c r="E72" s="20"/>
      <c r="F72" s="6"/>
      <c r="G72" s="6"/>
      <c r="H72" s="6"/>
      <c r="I72" s="6"/>
      <c r="J72" s="6"/>
      <c r="K72" s="6"/>
      <c r="L72" s="6"/>
      <c r="M72" s="6"/>
      <c r="N72" s="6"/>
      <c r="O72" s="6"/>
      <c r="P72" s="6"/>
      <c r="Q72" s="6"/>
      <c r="R72" s="6"/>
      <c r="S72" s="6"/>
      <c r="T72" s="6"/>
      <c r="U72" s="6"/>
      <c r="V72" s="6"/>
      <c r="W72" s="6"/>
      <c r="X72" s="6"/>
      <c r="Y72" s="6"/>
      <c r="Z72" s="6"/>
    </row>
    <row r="73" ht="45.0" customHeight="1">
      <c r="A73" s="276" t="s">
        <v>1667</v>
      </c>
      <c r="B73" s="277" t="s">
        <v>1668</v>
      </c>
      <c r="C73" s="278"/>
      <c r="D73" s="20"/>
      <c r="E73" s="20"/>
      <c r="F73" s="6"/>
      <c r="G73" s="6"/>
      <c r="H73" s="6"/>
      <c r="I73" s="6"/>
      <c r="J73" s="6"/>
      <c r="K73" s="6"/>
      <c r="L73" s="6"/>
      <c r="M73" s="6"/>
      <c r="N73" s="6"/>
      <c r="O73" s="6"/>
      <c r="P73" s="6"/>
      <c r="Q73" s="6"/>
      <c r="R73" s="6"/>
      <c r="S73" s="6"/>
      <c r="T73" s="6"/>
      <c r="U73" s="6"/>
      <c r="V73" s="6"/>
      <c r="W73" s="6"/>
      <c r="X73" s="6"/>
      <c r="Y73" s="6"/>
      <c r="Z73" s="6"/>
    </row>
    <row r="74" ht="90.0" customHeight="1">
      <c r="A74" s="276" t="s">
        <v>1669</v>
      </c>
      <c r="B74" s="277" t="s">
        <v>1670</v>
      </c>
      <c r="C74" s="278"/>
      <c r="D74" s="20"/>
      <c r="E74" s="20"/>
      <c r="F74" s="6"/>
      <c r="G74" s="6"/>
      <c r="H74" s="6"/>
      <c r="I74" s="6"/>
      <c r="J74" s="6"/>
      <c r="K74" s="6"/>
      <c r="L74" s="6"/>
      <c r="M74" s="6"/>
      <c r="N74" s="6"/>
      <c r="O74" s="6"/>
      <c r="P74" s="6"/>
      <c r="Q74" s="6"/>
      <c r="R74" s="6"/>
      <c r="S74" s="6"/>
      <c r="T74" s="6"/>
      <c r="U74" s="6"/>
      <c r="V74" s="6"/>
      <c r="W74" s="6"/>
      <c r="X74" s="6"/>
      <c r="Y74" s="6"/>
      <c r="Z74" s="6"/>
    </row>
    <row r="75" ht="60.0" customHeight="1">
      <c r="A75" s="276" t="s">
        <v>1671</v>
      </c>
      <c r="B75" s="277" t="s">
        <v>1672</v>
      </c>
      <c r="C75" s="278"/>
      <c r="D75" s="20"/>
      <c r="E75" s="20"/>
      <c r="F75" s="6"/>
      <c r="G75" s="6"/>
      <c r="H75" s="6"/>
      <c r="I75" s="6"/>
      <c r="J75" s="6"/>
      <c r="K75" s="6"/>
      <c r="L75" s="6"/>
      <c r="M75" s="6"/>
      <c r="N75" s="6"/>
      <c r="O75" s="6"/>
      <c r="P75" s="6"/>
      <c r="Q75" s="6"/>
      <c r="R75" s="6"/>
      <c r="S75" s="6"/>
      <c r="T75" s="6"/>
      <c r="U75" s="6"/>
      <c r="V75" s="6"/>
      <c r="W75" s="6"/>
      <c r="X75" s="6"/>
      <c r="Y75" s="6"/>
      <c r="Z75" s="6"/>
    </row>
    <row r="76" ht="45.0" customHeight="1">
      <c r="A76" s="276" t="s">
        <v>1673</v>
      </c>
      <c r="B76" s="277" t="s">
        <v>1674</v>
      </c>
      <c r="C76" s="278"/>
      <c r="D76" s="20"/>
      <c r="E76" s="20"/>
      <c r="F76" s="6"/>
      <c r="G76" s="6"/>
      <c r="H76" s="6"/>
      <c r="I76" s="6"/>
      <c r="J76" s="6"/>
      <c r="K76" s="6"/>
      <c r="L76" s="6"/>
      <c r="M76" s="6"/>
      <c r="N76" s="6"/>
      <c r="O76" s="6"/>
      <c r="P76" s="6"/>
      <c r="Q76" s="6"/>
      <c r="R76" s="6"/>
      <c r="S76" s="6"/>
      <c r="T76" s="6"/>
      <c r="U76" s="6"/>
      <c r="V76" s="6"/>
      <c r="W76" s="6"/>
      <c r="X76" s="6"/>
      <c r="Y76" s="6"/>
      <c r="Z76" s="6"/>
    </row>
    <row r="77" ht="75.0" customHeight="1">
      <c r="A77" s="276" t="s">
        <v>1675</v>
      </c>
      <c r="B77" s="277" t="s">
        <v>1676</v>
      </c>
      <c r="C77" s="278"/>
      <c r="D77" s="20"/>
      <c r="E77" s="20"/>
      <c r="F77" s="6"/>
      <c r="G77" s="6"/>
      <c r="H77" s="6"/>
      <c r="I77" s="6"/>
      <c r="J77" s="6"/>
      <c r="K77" s="6"/>
      <c r="L77" s="6"/>
      <c r="M77" s="6"/>
      <c r="N77" s="6"/>
      <c r="O77" s="6"/>
      <c r="P77" s="6"/>
      <c r="Q77" s="6"/>
      <c r="R77" s="6"/>
      <c r="S77" s="6"/>
      <c r="T77" s="6"/>
      <c r="U77" s="6"/>
      <c r="V77" s="6"/>
      <c r="W77" s="6"/>
      <c r="X77" s="6"/>
      <c r="Y77" s="6"/>
      <c r="Z77" s="6"/>
    </row>
    <row r="78" ht="120.0" customHeight="1">
      <c r="A78" s="276" t="s">
        <v>1677</v>
      </c>
      <c r="B78" s="277" t="s">
        <v>1678</v>
      </c>
      <c r="C78" s="278"/>
      <c r="D78" s="20"/>
      <c r="E78" s="20"/>
      <c r="F78" s="6"/>
      <c r="G78" s="6"/>
      <c r="H78" s="6"/>
      <c r="I78" s="6"/>
      <c r="J78" s="6"/>
      <c r="K78" s="6"/>
      <c r="L78" s="6"/>
      <c r="M78" s="6"/>
      <c r="N78" s="6"/>
      <c r="O78" s="6"/>
      <c r="P78" s="6"/>
      <c r="Q78" s="6"/>
      <c r="R78" s="6"/>
      <c r="S78" s="6"/>
      <c r="T78" s="6"/>
      <c r="U78" s="6"/>
      <c r="V78" s="6"/>
      <c r="W78" s="6"/>
      <c r="X78" s="6"/>
      <c r="Y78" s="6"/>
      <c r="Z78" s="6"/>
    </row>
    <row r="79" ht="75.0" customHeight="1">
      <c r="A79" s="276" t="s">
        <v>1679</v>
      </c>
      <c r="B79" s="277" t="s">
        <v>1680</v>
      </c>
      <c r="C79" s="278"/>
      <c r="D79" s="20"/>
      <c r="E79" s="20"/>
      <c r="F79" s="6"/>
      <c r="G79" s="6"/>
      <c r="H79" s="6"/>
      <c r="I79" s="6"/>
      <c r="J79" s="6"/>
      <c r="K79" s="6"/>
      <c r="L79" s="6"/>
      <c r="M79" s="6"/>
      <c r="N79" s="6"/>
      <c r="O79" s="6"/>
      <c r="P79" s="6"/>
      <c r="Q79" s="6"/>
      <c r="R79" s="6"/>
      <c r="S79" s="6"/>
      <c r="T79" s="6"/>
      <c r="U79" s="6"/>
      <c r="V79" s="6"/>
      <c r="W79" s="6"/>
      <c r="X79" s="6"/>
      <c r="Y79" s="6"/>
      <c r="Z79" s="6"/>
    </row>
    <row r="80" ht="75.0" customHeight="1">
      <c r="A80" s="276" t="s">
        <v>1681</v>
      </c>
      <c r="B80" s="277" t="s">
        <v>1682</v>
      </c>
      <c r="C80" s="278"/>
      <c r="D80" s="20"/>
      <c r="E80" s="20"/>
      <c r="F80" s="6"/>
      <c r="G80" s="6"/>
      <c r="H80" s="6"/>
      <c r="I80" s="6"/>
      <c r="J80" s="6"/>
      <c r="K80" s="6"/>
      <c r="L80" s="6"/>
      <c r="M80" s="6"/>
      <c r="N80" s="6"/>
      <c r="O80" s="6"/>
      <c r="P80" s="6"/>
      <c r="Q80" s="6"/>
      <c r="R80" s="6"/>
      <c r="S80" s="6"/>
      <c r="T80" s="6"/>
      <c r="U80" s="6"/>
      <c r="V80" s="6"/>
      <c r="W80" s="6"/>
      <c r="X80" s="6"/>
      <c r="Y80" s="6"/>
      <c r="Z80" s="6"/>
    </row>
    <row r="81" ht="45.0" customHeight="1">
      <c r="A81" s="276" t="s">
        <v>832</v>
      </c>
      <c r="B81" s="277" t="s">
        <v>1683</v>
      </c>
      <c r="C81" s="278"/>
      <c r="D81" s="20"/>
      <c r="E81" s="20"/>
      <c r="F81" s="6"/>
      <c r="G81" s="6"/>
      <c r="H81" s="6"/>
      <c r="I81" s="6"/>
      <c r="J81" s="6"/>
      <c r="K81" s="6"/>
      <c r="L81" s="6"/>
      <c r="M81" s="6"/>
      <c r="N81" s="6"/>
      <c r="O81" s="6"/>
      <c r="P81" s="6"/>
      <c r="Q81" s="6"/>
      <c r="R81" s="6"/>
      <c r="S81" s="6"/>
      <c r="T81" s="6"/>
      <c r="U81" s="6"/>
      <c r="V81" s="6"/>
      <c r="W81" s="6"/>
      <c r="X81" s="6"/>
      <c r="Y81" s="6"/>
      <c r="Z81" s="6"/>
    </row>
    <row r="82" ht="75.0" customHeight="1">
      <c r="A82" s="276" t="s">
        <v>1684</v>
      </c>
      <c r="B82" s="277" t="s">
        <v>1685</v>
      </c>
      <c r="C82" s="278"/>
      <c r="D82" s="20"/>
      <c r="E82" s="20"/>
      <c r="F82" s="6"/>
      <c r="G82" s="6"/>
      <c r="H82" s="6"/>
      <c r="I82" s="6"/>
      <c r="J82" s="6"/>
      <c r="K82" s="6"/>
      <c r="L82" s="6"/>
      <c r="M82" s="6"/>
      <c r="N82" s="6"/>
      <c r="O82" s="6"/>
      <c r="P82" s="6"/>
      <c r="Q82" s="6"/>
      <c r="R82" s="6"/>
      <c r="S82" s="6"/>
      <c r="T82" s="6"/>
      <c r="U82" s="6"/>
      <c r="V82" s="6"/>
      <c r="W82" s="6"/>
      <c r="X82" s="6"/>
      <c r="Y82" s="6"/>
      <c r="Z82" s="6"/>
    </row>
    <row r="83" ht="105.0" customHeight="1">
      <c r="A83" s="276" t="s">
        <v>1686</v>
      </c>
      <c r="B83" s="277" t="s">
        <v>1687</v>
      </c>
      <c r="C83" s="278"/>
      <c r="D83" s="20"/>
      <c r="E83" s="20"/>
      <c r="F83" s="6"/>
      <c r="G83" s="6"/>
      <c r="H83" s="6"/>
      <c r="I83" s="6"/>
      <c r="J83" s="6"/>
      <c r="K83" s="6"/>
      <c r="L83" s="6"/>
      <c r="M83" s="6"/>
      <c r="N83" s="6"/>
      <c r="O83" s="6"/>
      <c r="P83" s="6"/>
      <c r="Q83" s="6"/>
      <c r="R83" s="6"/>
      <c r="S83" s="6"/>
      <c r="T83" s="6"/>
      <c r="U83" s="6"/>
      <c r="V83" s="6"/>
      <c r="W83" s="6"/>
      <c r="X83" s="6"/>
      <c r="Y83" s="6"/>
      <c r="Z83" s="6"/>
    </row>
    <row r="84" ht="75.0" customHeight="1">
      <c r="A84" s="276" t="s">
        <v>1688</v>
      </c>
      <c r="B84" s="277" t="s">
        <v>1689</v>
      </c>
      <c r="C84" s="278"/>
      <c r="D84" s="20"/>
      <c r="E84" s="20"/>
      <c r="F84" s="6"/>
      <c r="G84" s="6"/>
      <c r="H84" s="6"/>
      <c r="I84" s="6"/>
      <c r="J84" s="6"/>
      <c r="K84" s="6"/>
      <c r="L84" s="6"/>
      <c r="M84" s="6"/>
      <c r="N84" s="6"/>
      <c r="O84" s="6"/>
      <c r="P84" s="6"/>
      <c r="Q84" s="6"/>
      <c r="R84" s="6"/>
      <c r="S84" s="6"/>
      <c r="T84" s="6"/>
      <c r="U84" s="6"/>
      <c r="V84" s="6"/>
      <c r="W84" s="6"/>
      <c r="X84" s="6"/>
      <c r="Y84" s="6"/>
      <c r="Z84" s="6"/>
    </row>
    <row r="85" ht="75.0" customHeight="1">
      <c r="A85" s="276" t="s">
        <v>987</v>
      </c>
      <c r="B85" s="277" t="s">
        <v>1690</v>
      </c>
      <c r="C85" s="278"/>
      <c r="D85" s="20"/>
      <c r="E85" s="20"/>
      <c r="F85" s="6"/>
      <c r="G85" s="6"/>
      <c r="H85" s="6"/>
      <c r="I85" s="6"/>
      <c r="J85" s="6"/>
      <c r="K85" s="6"/>
      <c r="L85" s="6"/>
      <c r="M85" s="6"/>
      <c r="N85" s="6"/>
      <c r="O85" s="6"/>
      <c r="P85" s="6"/>
      <c r="Q85" s="6"/>
      <c r="R85" s="6"/>
      <c r="S85" s="6"/>
      <c r="T85" s="6"/>
      <c r="U85" s="6"/>
      <c r="V85" s="6"/>
      <c r="W85" s="6"/>
      <c r="X85" s="6"/>
      <c r="Y85" s="6"/>
      <c r="Z85" s="6"/>
    </row>
    <row r="86" ht="75.0" customHeight="1">
      <c r="A86" s="276" t="s">
        <v>1691</v>
      </c>
      <c r="B86" s="277" t="s">
        <v>1692</v>
      </c>
      <c r="C86" s="278"/>
      <c r="D86" s="20"/>
      <c r="E86" s="20"/>
      <c r="F86" s="6"/>
      <c r="G86" s="6"/>
      <c r="H86" s="6"/>
      <c r="I86" s="6"/>
      <c r="J86" s="6"/>
      <c r="K86" s="6"/>
      <c r="L86" s="6"/>
      <c r="M86" s="6"/>
      <c r="N86" s="6"/>
      <c r="O86" s="6"/>
      <c r="P86" s="6"/>
      <c r="Q86" s="6"/>
      <c r="R86" s="6"/>
      <c r="S86" s="6"/>
      <c r="T86" s="6"/>
      <c r="U86" s="6"/>
      <c r="V86" s="6"/>
      <c r="W86" s="6"/>
      <c r="X86" s="6"/>
      <c r="Y86" s="6"/>
      <c r="Z86" s="6"/>
    </row>
    <row r="87" ht="60.0" customHeight="1">
      <c r="A87" s="276" t="s">
        <v>1693</v>
      </c>
      <c r="B87" s="277" t="s">
        <v>1694</v>
      </c>
      <c r="C87" s="278"/>
      <c r="D87" s="20"/>
      <c r="E87" s="20"/>
      <c r="F87" s="6"/>
      <c r="G87" s="6"/>
      <c r="H87" s="6"/>
      <c r="I87" s="6"/>
      <c r="J87" s="6"/>
      <c r="K87" s="6"/>
      <c r="L87" s="6"/>
      <c r="M87" s="6"/>
      <c r="N87" s="6"/>
      <c r="O87" s="6"/>
      <c r="P87" s="6"/>
      <c r="Q87" s="6"/>
      <c r="R87" s="6"/>
      <c r="S87" s="6"/>
      <c r="T87" s="6"/>
      <c r="U87" s="6"/>
      <c r="V87" s="6"/>
      <c r="W87" s="6"/>
      <c r="X87" s="6"/>
      <c r="Y87" s="6"/>
      <c r="Z87" s="6"/>
    </row>
    <row r="88" ht="45.0" customHeight="1">
      <c r="A88" s="276" t="s">
        <v>1061</v>
      </c>
      <c r="B88" s="277" t="s">
        <v>1695</v>
      </c>
      <c r="C88" s="278"/>
      <c r="D88" s="20"/>
      <c r="E88" s="20"/>
      <c r="F88" s="6"/>
      <c r="G88" s="6"/>
      <c r="H88" s="6"/>
      <c r="I88" s="6"/>
      <c r="J88" s="6"/>
      <c r="K88" s="6"/>
      <c r="L88" s="6"/>
      <c r="M88" s="6"/>
      <c r="N88" s="6"/>
      <c r="O88" s="6"/>
      <c r="P88" s="6"/>
      <c r="Q88" s="6"/>
      <c r="R88" s="6"/>
      <c r="S88" s="6"/>
      <c r="T88" s="6"/>
      <c r="U88" s="6"/>
      <c r="V88" s="6"/>
      <c r="W88" s="6"/>
      <c r="X88" s="6"/>
      <c r="Y88" s="6"/>
      <c r="Z88" s="6"/>
    </row>
    <row r="89" ht="45.0" customHeight="1">
      <c r="A89" s="276" t="s">
        <v>1696</v>
      </c>
      <c r="B89" s="277" t="s">
        <v>1697</v>
      </c>
      <c r="C89" s="278"/>
      <c r="D89" s="20"/>
      <c r="E89" s="20"/>
      <c r="F89" s="6"/>
      <c r="G89" s="6"/>
      <c r="H89" s="6"/>
      <c r="I89" s="6"/>
      <c r="J89" s="6"/>
      <c r="K89" s="6"/>
      <c r="L89" s="6"/>
      <c r="M89" s="6"/>
      <c r="N89" s="6"/>
      <c r="O89" s="6"/>
      <c r="P89" s="6"/>
      <c r="Q89" s="6"/>
      <c r="R89" s="6"/>
      <c r="S89" s="6"/>
      <c r="T89" s="6"/>
      <c r="U89" s="6"/>
      <c r="V89" s="6"/>
      <c r="W89" s="6"/>
      <c r="X89" s="6"/>
      <c r="Y89" s="6"/>
      <c r="Z89" s="6"/>
    </row>
    <row r="90" ht="45.0" customHeight="1">
      <c r="A90" s="276" t="s">
        <v>1698</v>
      </c>
      <c r="B90" s="277" t="s">
        <v>1699</v>
      </c>
      <c r="C90" s="278"/>
      <c r="D90" s="20"/>
      <c r="E90" s="20"/>
      <c r="F90" s="6"/>
      <c r="G90" s="6"/>
      <c r="H90" s="6"/>
      <c r="I90" s="6"/>
      <c r="J90" s="6"/>
      <c r="K90" s="6"/>
      <c r="L90" s="6"/>
      <c r="M90" s="6"/>
      <c r="N90" s="6"/>
      <c r="O90" s="6"/>
      <c r="P90" s="6"/>
      <c r="Q90" s="6"/>
      <c r="R90" s="6"/>
      <c r="S90" s="6"/>
      <c r="T90" s="6"/>
      <c r="U90" s="6"/>
      <c r="V90" s="6"/>
      <c r="W90" s="6"/>
      <c r="X90" s="6"/>
      <c r="Y90" s="6"/>
      <c r="Z90" s="6"/>
    </row>
    <row r="91" ht="90.0" customHeight="1">
      <c r="A91" s="276" t="s">
        <v>1700</v>
      </c>
      <c r="B91" s="277" t="s">
        <v>1701</v>
      </c>
      <c r="C91" s="278"/>
      <c r="D91" s="20"/>
      <c r="E91" s="20"/>
      <c r="F91" s="6"/>
      <c r="G91" s="6"/>
      <c r="H91" s="6"/>
      <c r="I91" s="6"/>
      <c r="J91" s="6"/>
      <c r="K91" s="6"/>
      <c r="L91" s="6"/>
      <c r="M91" s="6"/>
      <c r="N91" s="6"/>
      <c r="O91" s="6"/>
      <c r="P91" s="6"/>
      <c r="Q91" s="6"/>
      <c r="R91" s="6"/>
      <c r="S91" s="6"/>
      <c r="T91" s="6"/>
      <c r="U91" s="6"/>
      <c r="V91" s="6"/>
      <c r="W91" s="6"/>
      <c r="X91" s="6"/>
      <c r="Y91" s="6"/>
      <c r="Z91" s="6"/>
    </row>
    <row r="92" ht="90.0" customHeight="1">
      <c r="A92" s="276" t="s">
        <v>1702</v>
      </c>
      <c r="B92" s="277" t="s">
        <v>1703</v>
      </c>
      <c r="C92" s="278"/>
      <c r="D92" s="20"/>
      <c r="E92" s="20"/>
      <c r="F92" s="6"/>
      <c r="G92" s="6"/>
      <c r="H92" s="6"/>
      <c r="I92" s="6"/>
      <c r="J92" s="6"/>
      <c r="K92" s="6"/>
      <c r="L92" s="6"/>
      <c r="M92" s="6"/>
      <c r="N92" s="6"/>
      <c r="O92" s="6"/>
      <c r="P92" s="6"/>
      <c r="Q92" s="6"/>
      <c r="R92" s="6"/>
      <c r="S92" s="6"/>
      <c r="T92" s="6"/>
      <c r="U92" s="6"/>
      <c r="V92" s="6"/>
      <c r="W92" s="6"/>
      <c r="X92" s="6"/>
      <c r="Y92" s="6"/>
      <c r="Z92" s="6"/>
    </row>
    <row r="93" ht="105.0" customHeight="1">
      <c r="A93" s="276" t="s">
        <v>834</v>
      </c>
      <c r="B93" s="277" t="s">
        <v>1704</v>
      </c>
      <c r="C93" s="278"/>
      <c r="D93" s="20"/>
      <c r="E93" s="20"/>
      <c r="F93" s="6"/>
      <c r="G93" s="6"/>
      <c r="H93" s="6"/>
      <c r="I93" s="6"/>
      <c r="J93" s="6"/>
      <c r="K93" s="6"/>
      <c r="L93" s="6"/>
      <c r="M93" s="6"/>
      <c r="N93" s="6"/>
      <c r="O93" s="6"/>
      <c r="P93" s="6"/>
      <c r="Q93" s="6"/>
      <c r="R93" s="6"/>
      <c r="S93" s="6"/>
      <c r="T93" s="6"/>
      <c r="U93" s="6"/>
      <c r="V93" s="6"/>
      <c r="W93" s="6"/>
      <c r="X93" s="6"/>
      <c r="Y93" s="6"/>
      <c r="Z93" s="6"/>
    </row>
    <row r="94" ht="60.0" customHeight="1">
      <c r="A94" s="276" t="s">
        <v>825</v>
      </c>
      <c r="B94" s="277" t="s">
        <v>1705</v>
      </c>
      <c r="C94" s="278"/>
      <c r="D94" s="20"/>
      <c r="E94" s="20"/>
      <c r="F94" s="6"/>
      <c r="G94" s="6"/>
      <c r="H94" s="6"/>
      <c r="I94" s="6"/>
      <c r="J94" s="6"/>
      <c r="K94" s="6"/>
      <c r="L94" s="6"/>
      <c r="M94" s="6"/>
      <c r="N94" s="6"/>
      <c r="O94" s="6"/>
      <c r="P94" s="6"/>
      <c r="Q94" s="6"/>
      <c r="R94" s="6"/>
      <c r="S94" s="6"/>
      <c r="T94" s="6"/>
      <c r="U94" s="6"/>
      <c r="V94" s="6"/>
      <c r="W94" s="6"/>
      <c r="X94" s="6"/>
      <c r="Y94" s="6"/>
      <c r="Z94" s="6"/>
    </row>
    <row r="95" ht="60.0" customHeight="1">
      <c r="A95" s="276" t="s">
        <v>1706</v>
      </c>
      <c r="B95" s="277" t="s">
        <v>1707</v>
      </c>
      <c r="C95" s="278"/>
      <c r="D95" s="20"/>
      <c r="E95" s="20"/>
      <c r="F95" s="6"/>
      <c r="G95" s="6"/>
      <c r="H95" s="6"/>
      <c r="I95" s="6"/>
      <c r="J95" s="6"/>
      <c r="K95" s="6"/>
      <c r="L95" s="6"/>
      <c r="M95" s="6"/>
      <c r="N95" s="6"/>
      <c r="O95" s="6"/>
      <c r="P95" s="6"/>
      <c r="Q95" s="6"/>
      <c r="R95" s="6"/>
      <c r="S95" s="6"/>
      <c r="T95" s="6"/>
      <c r="U95" s="6"/>
      <c r="V95" s="6"/>
      <c r="W95" s="6"/>
      <c r="X95" s="6"/>
      <c r="Y95" s="6"/>
      <c r="Z95" s="6"/>
    </row>
    <row r="96" ht="60.0" customHeight="1">
      <c r="A96" s="276" t="s">
        <v>1120</v>
      </c>
      <c r="B96" s="277" t="s">
        <v>1708</v>
      </c>
      <c r="C96" s="278"/>
      <c r="D96" s="20"/>
      <c r="E96" s="20"/>
      <c r="F96" s="6"/>
      <c r="G96" s="6"/>
      <c r="H96" s="6"/>
      <c r="I96" s="6"/>
      <c r="J96" s="6"/>
      <c r="K96" s="6"/>
      <c r="L96" s="6"/>
      <c r="M96" s="6"/>
      <c r="N96" s="6"/>
      <c r="O96" s="6"/>
      <c r="P96" s="6"/>
      <c r="Q96" s="6"/>
      <c r="R96" s="6"/>
      <c r="S96" s="6"/>
      <c r="T96" s="6"/>
      <c r="U96" s="6"/>
      <c r="V96" s="6"/>
      <c r="W96" s="6"/>
      <c r="X96" s="6"/>
      <c r="Y96" s="6"/>
      <c r="Z96" s="6"/>
    </row>
    <row r="97" ht="60.0" customHeight="1">
      <c r="A97" s="276" t="s">
        <v>1709</v>
      </c>
      <c r="B97" s="277" t="s">
        <v>1710</v>
      </c>
      <c r="C97" s="278"/>
      <c r="D97" s="20"/>
      <c r="E97" s="20"/>
      <c r="F97" s="6"/>
      <c r="G97" s="6"/>
      <c r="H97" s="6"/>
      <c r="I97" s="6"/>
      <c r="J97" s="6"/>
      <c r="K97" s="6"/>
      <c r="L97" s="6"/>
      <c r="M97" s="6"/>
      <c r="N97" s="6"/>
      <c r="O97" s="6"/>
      <c r="P97" s="6"/>
      <c r="Q97" s="6"/>
      <c r="R97" s="6"/>
      <c r="S97" s="6"/>
      <c r="T97" s="6"/>
      <c r="U97" s="6"/>
      <c r="V97" s="6"/>
      <c r="W97" s="6"/>
      <c r="X97" s="6"/>
      <c r="Y97" s="6"/>
      <c r="Z97" s="6"/>
    </row>
    <row r="98" ht="75.0" customHeight="1">
      <c r="A98" s="276" t="s">
        <v>1711</v>
      </c>
      <c r="B98" s="277" t="s">
        <v>1712</v>
      </c>
      <c r="C98" s="278"/>
      <c r="D98" s="20"/>
      <c r="E98" s="20"/>
      <c r="F98" s="6"/>
      <c r="G98" s="6"/>
      <c r="H98" s="6"/>
      <c r="I98" s="6"/>
      <c r="J98" s="6"/>
      <c r="K98" s="6"/>
      <c r="L98" s="6"/>
      <c r="M98" s="6"/>
      <c r="N98" s="6"/>
      <c r="O98" s="6"/>
      <c r="P98" s="6"/>
      <c r="Q98" s="6"/>
      <c r="R98" s="6"/>
      <c r="S98" s="6"/>
      <c r="T98" s="6"/>
      <c r="U98" s="6"/>
      <c r="V98" s="6"/>
      <c r="W98" s="6"/>
      <c r="X98" s="6"/>
      <c r="Y98" s="6"/>
      <c r="Z98" s="6"/>
    </row>
    <row r="99" ht="105.0" customHeight="1">
      <c r="A99" s="276" t="s">
        <v>1713</v>
      </c>
      <c r="B99" s="277" t="s">
        <v>1714</v>
      </c>
      <c r="C99" s="278"/>
      <c r="D99" s="20"/>
      <c r="E99" s="20"/>
      <c r="F99" s="6"/>
      <c r="G99" s="6"/>
      <c r="H99" s="6"/>
      <c r="I99" s="6"/>
      <c r="J99" s="6"/>
      <c r="K99" s="6"/>
      <c r="L99" s="6"/>
      <c r="M99" s="6"/>
      <c r="N99" s="6"/>
      <c r="O99" s="6"/>
      <c r="P99" s="6"/>
      <c r="Q99" s="6"/>
      <c r="R99" s="6"/>
      <c r="S99" s="6"/>
      <c r="T99" s="6"/>
      <c r="U99" s="6"/>
      <c r="V99" s="6"/>
      <c r="W99" s="6"/>
      <c r="X99" s="6"/>
      <c r="Y99" s="6"/>
      <c r="Z99" s="6"/>
    </row>
    <row r="100" ht="75.0" customHeight="1">
      <c r="A100" s="276" t="s">
        <v>1068</v>
      </c>
      <c r="B100" s="277" t="s">
        <v>1715</v>
      </c>
      <c r="C100" s="278"/>
      <c r="D100" s="20"/>
      <c r="E100" s="20"/>
      <c r="F100" s="6"/>
      <c r="G100" s="6"/>
      <c r="H100" s="6"/>
      <c r="I100" s="6"/>
      <c r="J100" s="6"/>
      <c r="K100" s="6"/>
      <c r="L100" s="6"/>
      <c r="M100" s="6"/>
      <c r="N100" s="6"/>
      <c r="O100" s="6"/>
      <c r="P100" s="6"/>
      <c r="Q100" s="6"/>
      <c r="R100" s="6"/>
      <c r="S100" s="6"/>
      <c r="T100" s="6"/>
      <c r="U100" s="6"/>
      <c r="V100" s="6"/>
      <c r="W100" s="6"/>
      <c r="X100" s="6"/>
      <c r="Y100" s="6"/>
      <c r="Z100" s="6"/>
    </row>
    <row r="101" ht="75.0" customHeight="1">
      <c r="A101" s="276" t="s">
        <v>1716</v>
      </c>
      <c r="B101" s="277" t="s">
        <v>1717</v>
      </c>
      <c r="C101" s="278"/>
      <c r="D101" s="20"/>
      <c r="E101" s="20"/>
      <c r="F101" s="6"/>
      <c r="G101" s="6"/>
      <c r="H101" s="6"/>
      <c r="I101" s="6"/>
      <c r="J101" s="6"/>
      <c r="K101" s="6"/>
      <c r="L101" s="6"/>
      <c r="M101" s="6"/>
      <c r="N101" s="6"/>
      <c r="O101" s="6"/>
      <c r="P101" s="6"/>
      <c r="Q101" s="6"/>
      <c r="R101" s="6"/>
      <c r="S101" s="6"/>
      <c r="T101" s="6"/>
      <c r="U101" s="6"/>
      <c r="V101" s="6"/>
      <c r="W101" s="6"/>
      <c r="X101" s="6"/>
      <c r="Y101" s="6"/>
      <c r="Z101" s="6"/>
    </row>
    <row r="102" ht="45.0" customHeight="1">
      <c r="A102" s="276" t="s">
        <v>1718</v>
      </c>
      <c r="B102" s="277" t="s">
        <v>1719</v>
      </c>
      <c r="C102" s="278"/>
      <c r="D102" s="20"/>
      <c r="E102" s="20"/>
      <c r="F102" s="6"/>
      <c r="G102" s="6"/>
      <c r="H102" s="6"/>
      <c r="I102" s="6"/>
      <c r="J102" s="6"/>
      <c r="K102" s="6"/>
      <c r="L102" s="6"/>
      <c r="M102" s="6"/>
      <c r="N102" s="6"/>
      <c r="O102" s="6"/>
      <c r="P102" s="6"/>
      <c r="Q102" s="6"/>
      <c r="R102" s="6"/>
      <c r="S102" s="6"/>
      <c r="T102" s="6"/>
      <c r="U102" s="6"/>
      <c r="V102" s="6"/>
      <c r="W102" s="6"/>
      <c r="X102" s="6"/>
      <c r="Y102" s="6"/>
      <c r="Z102" s="6"/>
    </row>
    <row r="103" ht="60.0" customHeight="1">
      <c r="A103" s="276" t="s">
        <v>912</v>
      </c>
      <c r="B103" s="277" t="s">
        <v>1720</v>
      </c>
      <c r="C103" s="278"/>
      <c r="D103" s="20"/>
      <c r="E103" s="20"/>
      <c r="F103" s="6"/>
      <c r="G103" s="6"/>
      <c r="H103" s="6"/>
      <c r="I103" s="6"/>
      <c r="J103" s="6"/>
      <c r="K103" s="6"/>
      <c r="L103" s="6"/>
      <c r="M103" s="6"/>
      <c r="N103" s="6"/>
      <c r="O103" s="6"/>
      <c r="P103" s="6"/>
      <c r="Q103" s="6"/>
      <c r="R103" s="6"/>
      <c r="S103" s="6"/>
      <c r="T103" s="6"/>
      <c r="U103" s="6"/>
      <c r="V103" s="6"/>
      <c r="W103" s="6"/>
      <c r="X103" s="6"/>
      <c r="Y103" s="6"/>
      <c r="Z103" s="6"/>
    </row>
    <row r="104" ht="75.0" customHeight="1">
      <c r="A104" s="276" t="s">
        <v>818</v>
      </c>
      <c r="B104" s="277" t="s">
        <v>1721</v>
      </c>
      <c r="C104" s="278"/>
      <c r="D104" s="20"/>
      <c r="E104" s="20"/>
      <c r="F104" s="6"/>
      <c r="G104" s="6"/>
      <c r="H104" s="6"/>
      <c r="I104" s="6"/>
      <c r="J104" s="6"/>
      <c r="K104" s="6"/>
      <c r="L104" s="6"/>
      <c r="M104" s="6"/>
      <c r="N104" s="6"/>
      <c r="O104" s="6"/>
      <c r="P104" s="6"/>
      <c r="Q104" s="6"/>
      <c r="R104" s="6"/>
      <c r="S104" s="6"/>
      <c r="T104" s="6"/>
      <c r="U104" s="6"/>
      <c r="V104" s="6"/>
      <c r="W104" s="6"/>
      <c r="X104" s="6"/>
      <c r="Y104" s="6"/>
      <c r="Z104" s="6"/>
    </row>
    <row r="105" ht="90.0" customHeight="1">
      <c r="A105" s="276" t="s">
        <v>917</v>
      </c>
      <c r="B105" s="277" t="s">
        <v>1722</v>
      </c>
      <c r="C105" s="278"/>
      <c r="D105" s="20"/>
      <c r="E105" s="20"/>
      <c r="F105" s="6"/>
      <c r="G105" s="6"/>
      <c r="H105" s="6"/>
      <c r="I105" s="6"/>
      <c r="J105" s="6"/>
      <c r="K105" s="6"/>
      <c r="L105" s="6"/>
      <c r="M105" s="6"/>
      <c r="N105" s="6"/>
      <c r="O105" s="6"/>
      <c r="P105" s="6"/>
      <c r="Q105" s="6"/>
      <c r="R105" s="6"/>
      <c r="S105" s="6"/>
      <c r="T105" s="6"/>
      <c r="U105" s="6"/>
      <c r="V105" s="6"/>
      <c r="W105" s="6"/>
      <c r="X105" s="6"/>
      <c r="Y105" s="6"/>
      <c r="Z105" s="6"/>
    </row>
    <row r="106" ht="90.0" customHeight="1">
      <c r="A106" s="276" t="s">
        <v>922</v>
      </c>
      <c r="B106" s="277" t="s">
        <v>1723</v>
      </c>
      <c r="C106" s="278"/>
      <c r="D106" s="20"/>
      <c r="E106" s="20"/>
      <c r="F106" s="6"/>
      <c r="G106" s="6"/>
      <c r="H106" s="6"/>
      <c r="I106" s="6"/>
      <c r="J106" s="6"/>
      <c r="K106" s="6"/>
      <c r="L106" s="6"/>
      <c r="M106" s="6"/>
      <c r="N106" s="6"/>
      <c r="O106" s="6"/>
      <c r="P106" s="6"/>
      <c r="Q106" s="6"/>
      <c r="R106" s="6"/>
      <c r="S106" s="6"/>
      <c r="T106" s="6"/>
      <c r="U106" s="6"/>
      <c r="V106" s="6"/>
      <c r="W106" s="6"/>
      <c r="X106" s="6"/>
      <c r="Y106" s="6"/>
      <c r="Z106" s="6"/>
    </row>
    <row r="107" ht="120.0" customHeight="1">
      <c r="A107" s="276" t="s">
        <v>811</v>
      </c>
      <c r="B107" s="277" t="s">
        <v>1724</v>
      </c>
      <c r="C107" s="278"/>
      <c r="D107" s="20"/>
      <c r="E107" s="20"/>
      <c r="F107" s="6"/>
      <c r="G107" s="6"/>
      <c r="H107" s="6"/>
      <c r="I107" s="6"/>
      <c r="J107" s="6"/>
      <c r="K107" s="6"/>
      <c r="L107" s="6"/>
      <c r="M107" s="6"/>
      <c r="N107" s="6"/>
      <c r="O107" s="6"/>
      <c r="P107" s="6"/>
      <c r="Q107" s="6"/>
      <c r="R107" s="6"/>
      <c r="S107" s="6"/>
      <c r="T107" s="6"/>
      <c r="U107" s="6"/>
      <c r="V107" s="6"/>
      <c r="W107" s="6"/>
      <c r="X107" s="6"/>
      <c r="Y107" s="6"/>
      <c r="Z107" s="6"/>
    </row>
    <row r="108" ht="45.0" customHeight="1">
      <c r="A108" s="276" t="s">
        <v>1725</v>
      </c>
      <c r="B108" s="277" t="s">
        <v>1726</v>
      </c>
      <c r="C108" s="278"/>
      <c r="D108" s="20"/>
      <c r="E108" s="20"/>
      <c r="F108" s="6"/>
      <c r="G108" s="6"/>
      <c r="H108" s="6"/>
      <c r="I108" s="6"/>
      <c r="J108" s="6"/>
      <c r="K108" s="6"/>
      <c r="L108" s="6"/>
      <c r="M108" s="6"/>
      <c r="N108" s="6"/>
      <c r="O108" s="6"/>
      <c r="P108" s="6"/>
      <c r="Q108" s="6"/>
      <c r="R108" s="6"/>
      <c r="S108" s="6"/>
      <c r="T108" s="6"/>
      <c r="U108" s="6"/>
      <c r="V108" s="6"/>
      <c r="W108" s="6"/>
      <c r="X108" s="6"/>
      <c r="Y108" s="6"/>
      <c r="Z108" s="6"/>
    </row>
    <row r="109" ht="30.0" customHeight="1">
      <c r="A109" s="276" t="s">
        <v>1727</v>
      </c>
      <c r="B109" s="277" t="s">
        <v>1728</v>
      </c>
      <c r="C109" s="278"/>
      <c r="D109" s="20"/>
      <c r="E109" s="20"/>
      <c r="F109" s="6"/>
      <c r="G109" s="6"/>
      <c r="H109" s="6"/>
      <c r="I109" s="6"/>
      <c r="J109" s="6"/>
      <c r="K109" s="6"/>
      <c r="L109" s="6"/>
      <c r="M109" s="6"/>
      <c r="N109" s="6"/>
      <c r="O109" s="6"/>
      <c r="P109" s="6"/>
      <c r="Q109" s="6"/>
      <c r="R109" s="6"/>
      <c r="S109" s="6"/>
      <c r="T109" s="6"/>
      <c r="U109" s="6"/>
      <c r="V109" s="6"/>
      <c r="W109" s="6"/>
      <c r="X109" s="6"/>
      <c r="Y109" s="6"/>
      <c r="Z109" s="6"/>
    </row>
    <row r="110" ht="120.0" customHeight="1">
      <c r="A110" s="276" t="s">
        <v>830</v>
      </c>
      <c r="B110" s="277" t="s">
        <v>1729</v>
      </c>
      <c r="C110" s="278"/>
      <c r="D110" s="20"/>
      <c r="E110" s="20"/>
      <c r="F110" s="6"/>
      <c r="G110" s="6"/>
      <c r="H110" s="6"/>
      <c r="I110" s="6"/>
      <c r="J110" s="6"/>
      <c r="K110" s="6"/>
      <c r="L110" s="6"/>
      <c r="M110" s="6"/>
      <c r="N110" s="6"/>
      <c r="O110" s="6"/>
      <c r="P110" s="6"/>
      <c r="Q110" s="6"/>
      <c r="R110" s="6"/>
      <c r="S110" s="6"/>
      <c r="T110" s="6"/>
      <c r="U110" s="6"/>
      <c r="V110" s="6"/>
      <c r="W110" s="6"/>
      <c r="X110" s="6"/>
      <c r="Y110" s="6"/>
      <c r="Z110" s="6"/>
    </row>
    <row r="111" ht="75.0" customHeight="1">
      <c r="A111" s="276" t="s">
        <v>1730</v>
      </c>
      <c r="B111" s="277" t="s">
        <v>1731</v>
      </c>
      <c r="C111" s="278"/>
      <c r="D111" s="20"/>
      <c r="E111" s="20"/>
      <c r="F111" s="6"/>
      <c r="G111" s="6"/>
      <c r="H111" s="6"/>
      <c r="I111" s="6"/>
      <c r="J111" s="6"/>
      <c r="K111" s="6"/>
      <c r="L111" s="6"/>
      <c r="M111" s="6"/>
      <c r="N111" s="6"/>
      <c r="O111" s="6"/>
      <c r="P111" s="6"/>
      <c r="Q111" s="6"/>
      <c r="R111" s="6"/>
      <c r="S111" s="6"/>
      <c r="T111" s="6"/>
      <c r="U111" s="6"/>
      <c r="V111" s="6"/>
      <c r="W111" s="6"/>
      <c r="X111" s="6"/>
      <c r="Y111" s="6"/>
      <c r="Z111" s="6"/>
    </row>
    <row r="112" ht="75.0" customHeight="1">
      <c r="A112" s="276" t="s">
        <v>1112</v>
      </c>
      <c r="B112" s="277" t="s">
        <v>1732</v>
      </c>
      <c r="C112" s="278"/>
      <c r="D112" s="20"/>
      <c r="E112" s="20"/>
      <c r="F112" s="6"/>
      <c r="G112" s="6"/>
      <c r="H112" s="6"/>
      <c r="I112" s="6"/>
      <c r="J112" s="6"/>
      <c r="K112" s="6"/>
      <c r="L112" s="6"/>
      <c r="M112" s="6"/>
      <c r="N112" s="6"/>
      <c r="O112" s="6"/>
      <c r="P112" s="6"/>
      <c r="Q112" s="6"/>
      <c r="R112" s="6"/>
      <c r="S112" s="6"/>
      <c r="T112" s="6"/>
      <c r="U112" s="6"/>
      <c r="V112" s="6"/>
      <c r="W112" s="6"/>
      <c r="X112" s="6"/>
      <c r="Y112" s="6"/>
      <c r="Z112" s="6"/>
    </row>
    <row r="113" ht="90.0" customHeight="1">
      <c r="A113" s="276" t="s">
        <v>1733</v>
      </c>
      <c r="B113" s="277" t="s">
        <v>1734</v>
      </c>
      <c r="C113" s="278"/>
      <c r="D113" s="20"/>
      <c r="E113" s="20"/>
      <c r="F113" s="6"/>
      <c r="G113" s="6"/>
      <c r="H113" s="6"/>
      <c r="I113" s="6"/>
      <c r="J113" s="6"/>
      <c r="K113" s="6"/>
      <c r="L113" s="6"/>
      <c r="M113" s="6"/>
      <c r="N113" s="6"/>
      <c r="O113" s="6"/>
      <c r="P113" s="6"/>
      <c r="Q113" s="6"/>
      <c r="R113" s="6"/>
      <c r="S113" s="6"/>
      <c r="T113" s="6"/>
      <c r="U113" s="6"/>
      <c r="V113" s="6"/>
      <c r="W113" s="6"/>
      <c r="X113" s="6"/>
      <c r="Y113" s="6"/>
      <c r="Z113" s="6"/>
    </row>
    <row r="114" ht="45.0" customHeight="1">
      <c r="A114" s="279" t="s">
        <v>1735</v>
      </c>
      <c r="B114" s="277" t="s">
        <v>1736</v>
      </c>
      <c r="C114" s="278"/>
      <c r="D114" s="20"/>
      <c r="E114" s="20"/>
      <c r="F114" s="6"/>
      <c r="G114" s="6"/>
      <c r="H114" s="6"/>
      <c r="I114" s="6"/>
      <c r="J114" s="6"/>
      <c r="K114" s="6"/>
      <c r="L114" s="6"/>
      <c r="M114" s="6"/>
      <c r="N114" s="6"/>
      <c r="O114" s="6"/>
      <c r="P114" s="6"/>
      <c r="Q114" s="6"/>
      <c r="R114" s="6"/>
      <c r="S114" s="6"/>
      <c r="T114" s="6"/>
      <c r="U114" s="6"/>
      <c r="V114" s="6"/>
      <c r="W114" s="6"/>
      <c r="X114" s="6"/>
      <c r="Y114" s="6"/>
      <c r="Z114" s="6"/>
    </row>
    <row r="115" ht="28.5" customHeight="1">
      <c r="A115" s="280" t="s">
        <v>950</v>
      </c>
      <c r="B115" s="281" t="s">
        <v>1737</v>
      </c>
      <c r="C115" s="20"/>
      <c r="D115" s="20"/>
      <c r="E115" s="20"/>
      <c r="F115" s="6"/>
      <c r="G115" s="6"/>
      <c r="H115" s="6"/>
      <c r="I115" s="6"/>
      <c r="J115" s="6"/>
      <c r="K115" s="6"/>
      <c r="L115" s="6"/>
      <c r="M115" s="6"/>
      <c r="N115" s="6"/>
      <c r="O115" s="6"/>
      <c r="P115" s="6"/>
      <c r="Q115" s="6"/>
      <c r="R115" s="6"/>
      <c r="S115" s="6"/>
      <c r="T115" s="6"/>
      <c r="U115" s="6"/>
      <c r="V115" s="6"/>
      <c r="W115" s="6"/>
      <c r="X115" s="6"/>
      <c r="Y115" s="6"/>
      <c r="Z115" s="6"/>
    </row>
    <row r="116" ht="30.0" customHeight="1">
      <c r="A116" s="282" t="s">
        <v>1738</v>
      </c>
      <c r="B116" s="283" t="s">
        <v>1739</v>
      </c>
      <c r="C116" s="20"/>
      <c r="D116" s="20"/>
      <c r="E116" s="20"/>
      <c r="F116" s="6"/>
      <c r="G116" s="6"/>
      <c r="H116" s="6"/>
      <c r="I116" s="6"/>
      <c r="J116" s="6"/>
      <c r="K116" s="6"/>
      <c r="L116" s="6"/>
      <c r="M116" s="6"/>
      <c r="N116" s="6"/>
      <c r="O116" s="6"/>
      <c r="P116" s="6"/>
      <c r="Q116" s="6"/>
      <c r="R116" s="6"/>
      <c r="S116" s="6"/>
      <c r="T116" s="6"/>
      <c r="U116" s="6"/>
      <c r="V116" s="6"/>
      <c r="W116" s="6"/>
      <c r="X116" s="6"/>
      <c r="Y116" s="6"/>
      <c r="Z116" s="6"/>
    </row>
    <row r="117" ht="42.75" customHeight="1">
      <c r="A117" s="126" t="s">
        <v>883</v>
      </c>
      <c r="B117" s="284" t="s">
        <v>1740</v>
      </c>
      <c r="C117" s="20"/>
      <c r="D117" s="20"/>
      <c r="E117" s="20"/>
      <c r="F117" s="6"/>
      <c r="G117" s="6"/>
      <c r="H117" s="6"/>
      <c r="I117" s="6"/>
      <c r="J117" s="6"/>
      <c r="K117" s="6"/>
      <c r="L117" s="6"/>
      <c r="M117" s="6"/>
      <c r="N117" s="6"/>
      <c r="O117" s="6"/>
      <c r="P117" s="6"/>
      <c r="Q117" s="6"/>
      <c r="R117" s="6"/>
      <c r="S117" s="6"/>
      <c r="T117" s="6"/>
      <c r="U117" s="6"/>
      <c r="V117" s="6"/>
      <c r="W117" s="6"/>
      <c r="X117" s="6"/>
      <c r="Y117" s="6"/>
      <c r="Z117" s="6"/>
    </row>
    <row r="118" ht="57.0" customHeight="1">
      <c r="A118" s="126" t="s">
        <v>892</v>
      </c>
      <c r="B118" s="284" t="s">
        <v>1741</v>
      </c>
      <c r="C118" s="20"/>
      <c r="D118" s="20"/>
      <c r="E118" s="20"/>
      <c r="F118" s="6"/>
      <c r="G118" s="6"/>
      <c r="H118" s="6"/>
      <c r="I118" s="6"/>
      <c r="J118" s="6"/>
      <c r="K118" s="6"/>
      <c r="L118" s="6"/>
      <c r="M118" s="6"/>
      <c r="N118" s="6"/>
      <c r="O118" s="6"/>
      <c r="P118" s="6"/>
      <c r="Q118" s="6"/>
      <c r="R118" s="6"/>
      <c r="S118" s="6"/>
      <c r="T118" s="6"/>
      <c r="U118" s="6"/>
      <c r="V118" s="6"/>
      <c r="W118" s="6"/>
      <c r="X118" s="6"/>
      <c r="Y118" s="6"/>
      <c r="Z118" s="6"/>
    </row>
    <row r="119" ht="18.0" customHeight="1">
      <c r="A119" s="285" t="s">
        <v>957</v>
      </c>
      <c r="B119" s="286" t="s">
        <v>1742</v>
      </c>
      <c r="C119" s="20"/>
      <c r="D119" s="20"/>
      <c r="E119" s="20"/>
      <c r="F119" s="6"/>
      <c r="G119" s="6"/>
      <c r="H119" s="6"/>
      <c r="I119" s="6"/>
      <c r="J119" s="6"/>
      <c r="K119" s="6"/>
      <c r="L119" s="6"/>
      <c r="M119" s="6"/>
      <c r="N119" s="6"/>
      <c r="O119" s="6"/>
      <c r="P119" s="6"/>
      <c r="Q119" s="6"/>
      <c r="R119" s="6"/>
      <c r="S119" s="6"/>
      <c r="T119" s="6"/>
      <c r="U119" s="6"/>
      <c r="V119" s="6"/>
      <c r="W119" s="6"/>
      <c r="X119" s="6"/>
      <c r="Y119" s="6"/>
      <c r="Z119" s="6"/>
    </row>
    <row r="120" ht="18.0" customHeight="1">
      <c r="A120" s="287" t="s">
        <v>864</v>
      </c>
      <c r="B120" s="286" t="s">
        <v>1743</v>
      </c>
      <c r="C120" s="20"/>
      <c r="D120" s="20"/>
      <c r="E120" s="20"/>
      <c r="F120" s="6"/>
      <c r="G120" s="6"/>
      <c r="H120" s="6"/>
      <c r="I120" s="6"/>
      <c r="J120" s="6"/>
      <c r="K120" s="6"/>
      <c r="L120" s="6"/>
      <c r="M120" s="6"/>
      <c r="N120" s="6"/>
      <c r="O120" s="6"/>
      <c r="P120" s="6"/>
      <c r="Q120" s="6"/>
      <c r="R120" s="6"/>
      <c r="S120" s="6"/>
      <c r="T120" s="6"/>
      <c r="U120" s="6"/>
      <c r="V120" s="6"/>
      <c r="W120" s="6"/>
      <c r="X120" s="6"/>
      <c r="Y120" s="6"/>
      <c r="Z120" s="6"/>
    </row>
    <row r="121" ht="18.0" customHeight="1">
      <c r="A121" s="287" t="s">
        <v>990</v>
      </c>
      <c r="B121" s="286" t="s">
        <v>1744</v>
      </c>
      <c r="C121" s="20"/>
      <c r="D121" s="20"/>
      <c r="E121" s="20"/>
      <c r="F121" s="6"/>
      <c r="G121" s="6"/>
      <c r="H121" s="6"/>
      <c r="I121" s="6"/>
      <c r="J121" s="6"/>
      <c r="K121" s="6"/>
      <c r="L121" s="6"/>
      <c r="M121" s="6"/>
      <c r="N121" s="6"/>
      <c r="O121" s="6"/>
      <c r="P121" s="6"/>
      <c r="Q121" s="6"/>
      <c r="R121" s="6"/>
      <c r="S121" s="6"/>
      <c r="T121" s="6"/>
      <c r="U121" s="6"/>
      <c r="V121" s="6"/>
      <c r="W121" s="6"/>
      <c r="X121" s="6"/>
      <c r="Y121" s="6"/>
      <c r="Z121" s="6"/>
    </row>
    <row r="122" ht="18.0" customHeight="1">
      <c r="A122" s="287" t="s">
        <v>1051</v>
      </c>
      <c r="B122" s="286" t="s">
        <v>1745</v>
      </c>
      <c r="C122" s="20"/>
      <c r="D122" s="20"/>
      <c r="E122" s="20"/>
      <c r="F122" s="6"/>
      <c r="G122" s="6"/>
      <c r="H122" s="6"/>
      <c r="I122" s="6"/>
      <c r="J122" s="6"/>
      <c r="K122" s="6"/>
      <c r="L122" s="6"/>
      <c r="M122" s="6"/>
      <c r="N122" s="6"/>
      <c r="O122" s="6"/>
      <c r="P122" s="6"/>
      <c r="Q122" s="6"/>
      <c r="R122" s="6"/>
      <c r="S122" s="6"/>
      <c r="T122" s="6"/>
      <c r="U122" s="6"/>
      <c r="V122" s="6"/>
      <c r="W122" s="6"/>
      <c r="X122" s="6"/>
      <c r="Y122" s="6"/>
      <c r="Z122" s="6"/>
    </row>
    <row r="123" ht="18.0" customHeight="1">
      <c r="A123" s="287" t="s">
        <v>877</v>
      </c>
      <c r="B123" s="286" t="s">
        <v>1746</v>
      </c>
      <c r="C123" s="20"/>
      <c r="D123" s="20"/>
      <c r="E123" s="20"/>
      <c r="F123" s="6"/>
      <c r="G123" s="6"/>
      <c r="H123" s="6"/>
      <c r="I123" s="6"/>
      <c r="J123" s="6"/>
      <c r="K123" s="6"/>
      <c r="L123" s="6"/>
      <c r="M123" s="6"/>
      <c r="N123" s="6"/>
      <c r="O123" s="6"/>
      <c r="P123" s="6"/>
      <c r="Q123" s="6"/>
      <c r="R123" s="6"/>
      <c r="S123" s="6"/>
      <c r="T123" s="6"/>
      <c r="U123" s="6"/>
      <c r="V123" s="6"/>
      <c r="W123" s="6"/>
      <c r="X123" s="6"/>
      <c r="Y123" s="6"/>
      <c r="Z123" s="6"/>
    </row>
    <row r="124" ht="18.0" customHeight="1">
      <c r="A124" s="287" t="s">
        <v>901</v>
      </c>
      <c r="B124" s="286" t="s">
        <v>1747</v>
      </c>
      <c r="C124" s="20"/>
      <c r="D124" s="20"/>
      <c r="E124" s="20"/>
      <c r="F124" s="6"/>
      <c r="G124" s="6"/>
      <c r="H124" s="6"/>
      <c r="I124" s="6"/>
      <c r="J124" s="6"/>
      <c r="K124" s="6"/>
      <c r="L124" s="6"/>
      <c r="M124" s="6"/>
      <c r="N124" s="6"/>
      <c r="O124" s="6"/>
      <c r="P124" s="6"/>
      <c r="Q124" s="6"/>
      <c r="R124" s="6"/>
      <c r="S124" s="6"/>
      <c r="T124" s="6"/>
      <c r="U124" s="6"/>
      <c r="V124" s="6"/>
      <c r="W124" s="6"/>
      <c r="X124" s="6"/>
      <c r="Y124" s="6"/>
      <c r="Z124" s="6"/>
    </row>
    <row r="125" ht="18.0" customHeight="1">
      <c r="A125" s="287" t="s">
        <v>872</v>
      </c>
      <c r="B125" s="286" t="s">
        <v>1748</v>
      </c>
      <c r="C125" s="20"/>
      <c r="D125" s="20"/>
      <c r="E125" s="20"/>
      <c r="F125" s="6"/>
      <c r="G125" s="6"/>
      <c r="H125" s="6"/>
      <c r="I125" s="6"/>
      <c r="J125" s="6"/>
      <c r="K125" s="6"/>
      <c r="L125" s="6"/>
      <c r="M125" s="6"/>
      <c r="N125" s="6"/>
      <c r="O125" s="6"/>
      <c r="P125" s="6"/>
      <c r="Q125" s="6"/>
      <c r="R125" s="6"/>
      <c r="S125" s="6"/>
      <c r="T125" s="6"/>
      <c r="U125" s="6"/>
      <c r="V125" s="6"/>
      <c r="W125" s="6"/>
      <c r="X125" s="6"/>
      <c r="Y125" s="6"/>
      <c r="Z125" s="6"/>
    </row>
    <row r="126" ht="18.0" customHeight="1">
      <c r="A126" s="287" t="s">
        <v>1749</v>
      </c>
      <c r="B126" s="286" t="s">
        <v>1750</v>
      </c>
      <c r="C126" s="20"/>
      <c r="D126" s="20"/>
      <c r="E126" s="20"/>
      <c r="F126" s="6"/>
      <c r="G126" s="6"/>
      <c r="H126" s="6"/>
      <c r="I126" s="6"/>
      <c r="J126" s="6"/>
      <c r="K126" s="6"/>
      <c r="L126" s="6"/>
      <c r="M126" s="6"/>
      <c r="N126" s="6"/>
      <c r="O126" s="6"/>
      <c r="P126" s="6"/>
      <c r="Q126" s="6"/>
      <c r="R126" s="6"/>
      <c r="S126" s="6"/>
      <c r="T126" s="6"/>
      <c r="U126" s="6"/>
      <c r="V126" s="6"/>
      <c r="W126" s="6"/>
      <c r="X126" s="6"/>
      <c r="Y126" s="6"/>
      <c r="Z126" s="6"/>
    </row>
    <row r="127" ht="18.0" customHeight="1">
      <c r="A127" s="287" t="s">
        <v>995</v>
      </c>
      <c r="B127" s="286" t="s">
        <v>1751</v>
      </c>
      <c r="C127" s="20"/>
      <c r="D127" s="20"/>
      <c r="E127" s="20"/>
      <c r="F127" s="6"/>
      <c r="G127" s="6"/>
      <c r="H127" s="6"/>
      <c r="I127" s="6"/>
      <c r="J127" s="6"/>
      <c r="K127" s="6"/>
      <c r="L127" s="6"/>
      <c r="M127" s="6"/>
      <c r="N127" s="6"/>
      <c r="O127" s="6"/>
      <c r="P127" s="6"/>
      <c r="Q127" s="6"/>
      <c r="R127" s="6"/>
      <c r="S127" s="6"/>
      <c r="T127" s="6"/>
      <c r="U127" s="6"/>
      <c r="V127" s="6"/>
      <c r="W127" s="6"/>
      <c r="X127" s="6"/>
      <c r="Y127" s="6"/>
      <c r="Z127" s="6"/>
    </row>
    <row r="128" ht="18.0" customHeight="1">
      <c r="A128" s="287" t="s">
        <v>817</v>
      </c>
      <c r="B128" s="286" t="s">
        <v>1752</v>
      </c>
      <c r="C128" s="20"/>
      <c r="D128" s="20"/>
      <c r="E128" s="20"/>
      <c r="F128" s="6"/>
      <c r="G128" s="6"/>
      <c r="H128" s="6"/>
      <c r="I128" s="6"/>
      <c r="J128" s="6"/>
      <c r="K128" s="6"/>
      <c r="L128" s="6"/>
      <c r="M128" s="6"/>
      <c r="N128" s="6"/>
      <c r="O128" s="6"/>
      <c r="P128" s="6"/>
      <c r="Q128" s="6"/>
      <c r="R128" s="6"/>
      <c r="S128" s="6"/>
      <c r="T128" s="6"/>
      <c r="U128" s="6"/>
      <c r="V128" s="6"/>
      <c r="W128" s="6"/>
      <c r="X128" s="6"/>
      <c r="Y128" s="6"/>
      <c r="Z128" s="6"/>
    </row>
    <row r="129" ht="18.0" customHeight="1">
      <c r="A129" s="287" t="s">
        <v>1753</v>
      </c>
      <c r="B129" s="286" t="s">
        <v>1754</v>
      </c>
      <c r="C129" s="20"/>
      <c r="D129" s="20"/>
      <c r="E129" s="20"/>
      <c r="F129" s="6"/>
      <c r="G129" s="6"/>
      <c r="H129" s="6"/>
      <c r="I129" s="6"/>
      <c r="J129" s="6"/>
      <c r="K129" s="6"/>
      <c r="L129" s="6"/>
      <c r="M129" s="6"/>
      <c r="N129" s="6"/>
      <c r="O129" s="6"/>
      <c r="P129" s="6"/>
      <c r="Q129" s="6"/>
      <c r="R129" s="6"/>
      <c r="S129" s="6"/>
      <c r="T129" s="6"/>
      <c r="U129" s="6"/>
      <c r="V129" s="6"/>
      <c r="W129" s="6"/>
      <c r="X129" s="6"/>
      <c r="Y129" s="6"/>
      <c r="Z129" s="6"/>
    </row>
    <row r="130" ht="18.0" customHeight="1">
      <c r="A130" s="287" t="s">
        <v>860</v>
      </c>
      <c r="B130" s="286" t="s">
        <v>1755</v>
      </c>
      <c r="C130" s="20"/>
      <c r="D130" s="20"/>
      <c r="E130" s="20"/>
      <c r="F130" s="6"/>
      <c r="G130" s="6"/>
      <c r="H130" s="6"/>
      <c r="I130" s="6"/>
      <c r="J130" s="6"/>
      <c r="K130" s="6"/>
      <c r="L130" s="6"/>
      <c r="M130" s="6"/>
      <c r="N130" s="6"/>
      <c r="O130" s="6"/>
      <c r="P130" s="6"/>
      <c r="Q130" s="6"/>
      <c r="R130" s="6"/>
      <c r="S130" s="6"/>
      <c r="T130" s="6"/>
      <c r="U130" s="6"/>
      <c r="V130" s="6"/>
      <c r="W130" s="6"/>
      <c r="X130" s="6"/>
      <c r="Y130" s="6"/>
      <c r="Z130" s="6"/>
    </row>
    <row r="131" ht="18.0" customHeight="1">
      <c r="A131" s="287" t="s">
        <v>809</v>
      </c>
      <c r="B131" s="286" t="s">
        <v>1756</v>
      </c>
      <c r="C131" s="20"/>
      <c r="D131" s="20"/>
      <c r="E131" s="20"/>
      <c r="F131" s="6"/>
      <c r="G131" s="6"/>
      <c r="H131" s="6"/>
      <c r="I131" s="6"/>
      <c r="J131" s="6"/>
      <c r="K131" s="6"/>
      <c r="L131" s="6"/>
      <c r="M131" s="6"/>
      <c r="N131" s="6"/>
      <c r="O131" s="6"/>
      <c r="P131" s="6"/>
      <c r="Q131" s="6"/>
      <c r="R131" s="6"/>
      <c r="S131" s="6"/>
      <c r="T131" s="6"/>
      <c r="U131" s="6"/>
      <c r="V131" s="6"/>
      <c r="W131" s="6"/>
      <c r="X131" s="6"/>
      <c r="Y131" s="6"/>
      <c r="Z131" s="6"/>
    </row>
    <row r="132" ht="18.0" customHeight="1">
      <c r="A132" s="287" t="s">
        <v>823</v>
      </c>
      <c r="B132" s="286" t="s">
        <v>1757</v>
      </c>
      <c r="C132" s="20"/>
      <c r="D132" s="20"/>
      <c r="E132" s="20"/>
      <c r="F132" s="6"/>
      <c r="G132" s="6"/>
      <c r="H132" s="6"/>
      <c r="I132" s="6"/>
      <c r="J132" s="6"/>
      <c r="K132" s="6"/>
      <c r="L132" s="6"/>
      <c r="M132" s="6"/>
      <c r="N132" s="6"/>
      <c r="O132" s="6"/>
      <c r="P132" s="6"/>
      <c r="Q132" s="6"/>
      <c r="R132" s="6"/>
      <c r="S132" s="6"/>
      <c r="T132" s="6"/>
      <c r="U132" s="6"/>
      <c r="V132" s="6"/>
      <c r="W132" s="6"/>
      <c r="X132" s="6"/>
      <c r="Y132" s="6"/>
      <c r="Z132" s="6"/>
    </row>
    <row r="133" ht="18.0" customHeight="1">
      <c r="A133" s="287" t="s">
        <v>1758</v>
      </c>
      <c r="B133" s="286" t="s">
        <v>1759</v>
      </c>
      <c r="C133" s="20"/>
      <c r="D133" s="20"/>
      <c r="E133" s="20"/>
      <c r="F133" s="6"/>
      <c r="G133" s="6"/>
      <c r="H133" s="6"/>
      <c r="I133" s="6"/>
      <c r="J133" s="6"/>
      <c r="K133" s="6"/>
      <c r="L133" s="6"/>
      <c r="M133" s="6"/>
      <c r="N133" s="6"/>
      <c r="O133" s="6"/>
      <c r="P133" s="6"/>
      <c r="Q133" s="6"/>
      <c r="R133" s="6"/>
      <c r="S133" s="6"/>
      <c r="T133" s="6"/>
      <c r="U133" s="6"/>
      <c r="V133" s="6"/>
      <c r="W133" s="6"/>
      <c r="X133" s="6"/>
      <c r="Y133" s="6"/>
      <c r="Z133" s="6"/>
    </row>
    <row r="134" ht="18.0" customHeight="1">
      <c r="A134" s="287" t="s">
        <v>882</v>
      </c>
      <c r="B134" s="286" t="s">
        <v>1760</v>
      </c>
      <c r="C134" s="20"/>
      <c r="D134" s="20"/>
      <c r="E134" s="20"/>
      <c r="F134" s="6"/>
      <c r="G134" s="6"/>
      <c r="H134" s="6"/>
      <c r="I134" s="6"/>
      <c r="J134" s="6"/>
      <c r="K134" s="6"/>
      <c r="L134" s="6"/>
      <c r="M134" s="6"/>
      <c r="N134" s="6"/>
      <c r="O134" s="6"/>
      <c r="P134" s="6"/>
      <c r="Q134" s="6"/>
      <c r="R134" s="6"/>
      <c r="S134" s="6"/>
      <c r="T134" s="6"/>
      <c r="U134" s="6"/>
      <c r="V134" s="6"/>
      <c r="W134" s="6"/>
      <c r="X134" s="6"/>
      <c r="Y134" s="6"/>
      <c r="Z134" s="6"/>
    </row>
    <row r="135" ht="18.0" customHeight="1">
      <c r="A135" s="287" t="s">
        <v>1079</v>
      </c>
      <c r="B135" s="286" t="s">
        <v>1761</v>
      </c>
      <c r="C135" s="20"/>
      <c r="D135" s="20"/>
      <c r="E135" s="20"/>
      <c r="F135" s="6"/>
      <c r="G135" s="6"/>
      <c r="H135" s="6"/>
      <c r="I135" s="6"/>
      <c r="J135" s="6"/>
      <c r="K135" s="6"/>
      <c r="L135" s="6"/>
      <c r="M135" s="6"/>
      <c r="N135" s="6"/>
      <c r="O135" s="6"/>
      <c r="P135" s="6"/>
      <c r="Q135" s="6"/>
      <c r="R135" s="6"/>
      <c r="S135" s="6"/>
      <c r="T135" s="6"/>
      <c r="U135" s="6"/>
      <c r="V135" s="6"/>
      <c r="W135" s="6"/>
      <c r="X135" s="6"/>
      <c r="Y135" s="6"/>
      <c r="Z135" s="6"/>
    </row>
    <row r="136" ht="18.0" customHeight="1">
      <c r="A136" s="287" t="s">
        <v>814</v>
      </c>
      <c r="B136" s="286" t="s">
        <v>1762</v>
      </c>
      <c r="C136" s="20"/>
      <c r="D136" s="20"/>
      <c r="E136" s="20"/>
      <c r="F136" s="6"/>
      <c r="G136" s="6"/>
      <c r="H136" s="6"/>
      <c r="I136" s="6"/>
      <c r="J136" s="6"/>
      <c r="K136" s="6"/>
      <c r="L136" s="6"/>
      <c r="M136" s="6"/>
      <c r="N136" s="6"/>
      <c r="O136" s="6"/>
      <c r="P136" s="6"/>
      <c r="Q136" s="6"/>
      <c r="R136" s="6"/>
      <c r="S136" s="6"/>
      <c r="T136" s="6"/>
      <c r="U136" s="6"/>
      <c r="V136" s="6"/>
      <c r="W136" s="6"/>
      <c r="X136" s="6"/>
      <c r="Y136" s="6"/>
      <c r="Z136" s="6"/>
    </row>
    <row r="137" ht="18.0" customHeight="1">
      <c r="A137" s="287" t="s">
        <v>1009</v>
      </c>
      <c r="B137" s="286" t="s">
        <v>1763</v>
      </c>
      <c r="C137" s="20"/>
      <c r="D137" s="20"/>
      <c r="E137" s="20"/>
      <c r="F137" s="6"/>
      <c r="G137" s="6"/>
      <c r="H137" s="6"/>
      <c r="I137" s="6"/>
      <c r="J137" s="6"/>
      <c r="K137" s="6"/>
      <c r="L137" s="6"/>
      <c r="M137" s="6"/>
      <c r="N137" s="6"/>
      <c r="O137" s="6"/>
      <c r="P137" s="6"/>
      <c r="Q137" s="6"/>
      <c r="R137" s="6"/>
      <c r="S137" s="6"/>
      <c r="T137" s="6"/>
      <c r="U137" s="6"/>
      <c r="V137" s="6"/>
      <c r="W137" s="6"/>
      <c r="X137" s="6"/>
      <c r="Y137" s="6"/>
      <c r="Z137" s="6"/>
    </row>
    <row r="138" ht="18.0" customHeight="1">
      <c r="A138" s="287" t="s">
        <v>1111</v>
      </c>
      <c r="B138" s="286" t="s">
        <v>1764</v>
      </c>
      <c r="C138" s="20"/>
      <c r="D138" s="20"/>
      <c r="E138" s="20"/>
      <c r="F138" s="6"/>
      <c r="G138" s="6"/>
      <c r="H138" s="6"/>
      <c r="I138" s="6"/>
      <c r="J138" s="6"/>
      <c r="K138" s="6"/>
      <c r="L138" s="6"/>
      <c r="M138" s="6"/>
      <c r="N138" s="6"/>
      <c r="O138" s="6"/>
      <c r="P138" s="6"/>
      <c r="Q138" s="6"/>
      <c r="R138" s="6"/>
      <c r="S138" s="6"/>
      <c r="T138" s="6"/>
      <c r="U138" s="6"/>
      <c r="V138" s="6"/>
      <c r="W138" s="6"/>
      <c r="X138" s="6"/>
      <c r="Y138" s="6"/>
      <c r="Z138" s="6"/>
    </row>
    <row r="139" ht="18.0" customHeight="1">
      <c r="A139" s="288" t="s">
        <v>1765</v>
      </c>
      <c r="B139" s="288" t="s">
        <v>1766</v>
      </c>
      <c r="C139" s="20"/>
      <c r="D139" s="20"/>
      <c r="E139" s="20"/>
      <c r="F139" s="6"/>
      <c r="G139" s="6"/>
      <c r="H139" s="6"/>
      <c r="I139" s="6"/>
      <c r="J139" s="6"/>
      <c r="K139" s="6"/>
      <c r="L139" s="6"/>
      <c r="M139" s="6"/>
      <c r="N139" s="6"/>
      <c r="O139" s="6"/>
      <c r="P139" s="6"/>
      <c r="Q139" s="6"/>
      <c r="R139" s="6"/>
      <c r="S139" s="6"/>
      <c r="T139" s="6"/>
      <c r="U139" s="6"/>
      <c r="V139" s="6"/>
      <c r="W139" s="6"/>
      <c r="X139" s="6"/>
      <c r="Y139" s="6"/>
      <c r="Z139" s="6"/>
    </row>
    <row r="140" ht="18.0" customHeight="1">
      <c r="A140" s="288" t="s">
        <v>867</v>
      </c>
      <c r="B140" s="288" t="s">
        <v>1767</v>
      </c>
      <c r="C140" s="20"/>
      <c r="D140" s="20"/>
      <c r="E140" s="20"/>
      <c r="F140" s="6"/>
      <c r="G140" s="6"/>
      <c r="H140" s="6"/>
      <c r="I140" s="6"/>
      <c r="J140" s="6"/>
      <c r="K140" s="6"/>
      <c r="L140" s="6"/>
      <c r="M140" s="6"/>
      <c r="N140" s="6"/>
      <c r="O140" s="6"/>
      <c r="P140" s="6"/>
      <c r="Q140" s="6"/>
      <c r="R140" s="6"/>
      <c r="S140" s="6"/>
      <c r="T140" s="6"/>
      <c r="U140" s="6"/>
      <c r="V140" s="6"/>
      <c r="W140" s="6"/>
      <c r="X140" s="6"/>
      <c r="Y140" s="6"/>
      <c r="Z140" s="6"/>
    </row>
    <row r="141" ht="18.0" customHeight="1">
      <c r="A141" s="288" t="s">
        <v>1768</v>
      </c>
      <c r="B141" s="288" t="s">
        <v>1769</v>
      </c>
      <c r="C141" s="20"/>
      <c r="D141" s="20"/>
      <c r="E141" s="20"/>
      <c r="F141" s="6"/>
      <c r="G141" s="6"/>
      <c r="H141" s="6"/>
      <c r="I141" s="6"/>
      <c r="J141" s="6"/>
      <c r="K141" s="6"/>
      <c r="L141" s="6"/>
      <c r="M141" s="6"/>
      <c r="N141" s="6"/>
      <c r="O141" s="6"/>
      <c r="P141" s="6"/>
      <c r="Q141" s="6"/>
      <c r="R141" s="6"/>
      <c r="S141" s="6"/>
      <c r="T141" s="6"/>
      <c r="U141" s="6"/>
      <c r="V141" s="6"/>
      <c r="W141" s="6"/>
      <c r="X141" s="6"/>
      <c r="Y141" s="6"/>
      <c r="Z141" s="6"/>
    </row>
    <row r="142" ht="18.0" customHeight="1">
      <c r="A142" s="288" t="s">
        <v>1770</v>
      </c>
      <c r="B142" s="288" t="s">
        <v>1771</v>
      </c>
      <c r="C142" s="20"/>
      <c r="D142" s="20"/>
      <c r="E142" s="20"/>
      <c r="F142" s="6"/>
      <c r="G142" s="6"/>
      <c r="H142" s="6"/>
      <c r="I142" s="6"/>
      <c r="J142" s="6"/>
      <c r="K142" s="6"/>
      <c r="L142" s="6"/>
      <c r="M142" s="6"/>
      <c r="N142" s="6"/>
      <c r="O142" s="6"/>
      <c r="P142" s="6"/>
      <c r="Q142" s="6"/>
      <c r="R142" s="6"/>
      <c r="S142" s="6"/>
      <c r="T142" s="6"/>
      <c r="U142" s="6"/>
      <c r="V142" s="6"/>
      <c r="W142" s="6"/>
      <c r="X142" s="6"/>
      <c r="Y142" s="6"/>
      <c r="Z142" s="6"/>
    </row>
    <row r="143" ht="18.0" customHeight="1">
      <c r="A143" s="288" t="s">
        <v>849</v>
      </c>
      <c r="B143" s="288" t="s">
        <v>1772</v>
      </c>
      <c r="C143" s="20"/>
      <c r="D143" s="20"/>
      <c r="E143" s="20"/>
      <c r="F143" s="6"/>
      <c r="G143" s="6"/>
      <c r="H143" s="6"/>
      <c r="I143" s="6"/>
      <c r="J143" s="6"/>
      <c r="K143" s="6"/>
      <c r="L143" s="6"/>
      <c r="M143" s="6"/>
      <c r="N143" s="6"/>
      <c r="O143" s="6"/>
      <c r="P143" s="6"/>
      <c r="Q143" s="6"/>
      <c r="R143" s="6"/>
      <c r="S143" s="6"/>
      <c r="T143" s="6"/>
      <c r="U143" s="6"/>
      <c r="V143" s="6"/>
      <c r="W143" s="6"/>
      <c r="X143" s="6"/>
      <c r="Y143" s="6"/>
      <c r="Z143" s="6"/>
    </row>
    <row r="144" ht="18.0" customHeight="1">
      <c r="A144" s="288" t="s">
        <v>1773</v>
      </c>
      <c r="B144" s="288" t="s">
        <v>1774</v>
      </c>
      <c r="C144" s="20"/>
      <c r="D144" s="20"/>
      <c r="E144" s="20"/>
      <c r="F144" s="6"/>
      <c r="G144" s="6"/>
      <c r="H144" s="6"/>
      <c r="I144" s="6"/>
      <c r="J144" s="6"/>
      <c r="K144" s="6"/>
      <c r="L144" s="6"/>
      <c r="M144" s="6"/>
      <c r="N144" s="6"/>
      <c r="O144" s="6"/>
      <c r="P144" s="6"/>
      <c r="Q144" s="6"/>
      <c r="R144" s="6"/>
      <c r="S144" s="6"/>
      <c r="T144" s="6"/>
      <c r="U144" s="6"/>
      <c r="V144" s="6"/>
      <c r="W144" s="6"/>
      <c r="X144" s="6"/>
      <c r="Y144" s="6"/>
      <c r="Z144" s="6"/>
    </row>
    <row r="145" ht="18.0" customHeight="1">
      <c r="A145" s="288" t="s">
        <v>1775</v>
      </c>
      <c r="B145" s="288" t="s">
        <v>1776</v>
      </c>
      <c r="C145" s="20"/>
      <c r="D145" s="20"/>
      <c r="E145" s="20"/>
      <c r="F145" s="6"/>
      <c r="G145" s="6"/>
      <c r="H145" s="6"/>
      <c r="I145" s="6"/>
      <c r="J145" s="6"/>
      <c r="K145" s="6"/>
      <c r="L145" s="6"/>
      <c r="M145" s="6"/>
      <c r="N145" s="6"/>
      <c r="O145" s="6"/>
      <c r="P145" s="6"/>
      <c r="Q145" s="6"/>
      <c r="R145" s="6"/>
      <c r="S145" s="6"/>
      <c r="T145" s="6"/>
      <c r="U145" s="6"/>
      <c r="V145" s="6"/>
      <c r="W145" s="6"/>
      <c r="X145" s="6"/>
      <c r="Y145" s="6"/>
      <c r="Z145" s="6"/>
    </row>
    <row r="146" ht="18.0" customHeight="1">
      <c r="A146" s="288" t="s">
        <v>1777</v>
      </c>
      <c r="B146" s="288" t="s">
        <v>1778</v>
      </c>
      <c r="C146" s="20"/>
      <c r="D146" s="20"/>
      <c r="E146" s="20"/>
      <c r="F146" s="6"/>
      <c r="G146" s="6"/>
      <c r="H146" s="6"/>
      <c r="I146" s="6"/>
      <c r="J146" s="6"/>
      <c r="K146" s="6"/>
      <c r="L146" s="6"/>
      <c r="M146" s="6"/>
      <c r="N146" s="6"/>
      <c r="O146" s="6"/>
      <c r="P146" s="6"/>
      <c r="Q146" s="6"/>
      <c r="R146" s="6"/>
      <c r="S146" s="6"/>
      <c r="T146" s="6"/>
      <c r="U146" s="6"/>
      <c r="V146" s="6"/>
      <c r="W146" s="6"/>
      <c r="X146" s="6"/>
      <c r="Y146" s="6"/>
      <c r="Z146" s="6"/>
    </row>
    <row r="147" ht="18.0" customHeight="1">
      <c r="A147" s="288" t="s">
        <v>1779</v>
      </c>
      <c r="B147" s="288" t="s">
        <v>1780</v>
      </c>
      <c r="C147" s="20"/>
      <c r="D147" s="20"/>
      <c r="E147" s="20"/>
      <c r="F147" s="6"/>
      <c r="G147" s="6"/>
      <c r="H147" s="6"/>
      <c r="I147" s="6"/>
      <c r="J147" s="6"/>
      <c r="K147" s="6"/>
      <c r="L147" s="6"/>
      <c r="M147" s="6"/>
      <c r="N147" s="6"/>
      <c r="O147" s="6"/>
      <c r="P147" s="6"/>
      <c r="Q147" s="6"/>
      <c r="R147" s="6"/>
      <c r="S147" s="6"/>
      <c r="T147" s="6"/>
      <c r="U147" s="6"/>
      <c r="V147" s="6"/>
      <c r="W147" s="6"/>
      <c r="X147" s="6"/>
      <c r="Y147" s="6"/>
      <c r="Z147" s="6"/>
    </row>
    <row r="148" ht="18.0" customHeight="1">
      <c r="A148" s="288" t="s">
        <v>1781</v>
      </c>
      <c r="B148" s="288" t="s">
        <v>1782</v>
      </c>
      <c r="C148" s="20"/>
      <c r="D148" s="20"/>
      <c r="E148" s="20"/>
      <c r="F148" s="6"/>
      <c r="G148" s="6"/>
      <c r="H148" s="6"/>
      <c r="I148" s="6"/>
      <c r="J148" s="6"/>
      <c r="K148" s="6"/>
      <c r="L148" s="6"/>
      <c r="M148" s="6"/>
      <c r="N148" s="6"/>
      <c r="O148" s="6"/>
      <c r="P148" s="6"/>
      <c r="Q148" s="6"/>
      <c r="R148" s="6"/>
      <c r="S148" s="6"/>
      <c r="T148" s="6"/>
      <c r="U148" s="6"/>
      <c r="V148" s="6"/>
      <c r="W148" s="6"/>
      <c r="X148" s="6"/>
      <c r="Y148" s="6"/>
      <c r="Z148" s="6"/>
    </row>
    <row r="149" ht="18.0" customHeight="1">
      <c r="A149" s="288" t="s">
        <v>1783</v>
      </c>
      <c r="B149" s="288" t="s">
        <v>1784</v>
      </c>
      <c r="C149" s="20"/>
      <c r="D149" s="20"/>
      <c r="E149" s="20"/>
      <c r="F149" s="6"/>
      <c r="G149" s="6"/>
      <c r="H149" s="6"/>
      <c r="I149" s="6"/>
      <c r="J149" s="6"/>
      <c r="K149" s="6"/>
      <c r="L149" s="6"/>
      <c r="M149" s="6"/>
      <c r="N149" s="6"/>
      <c r="O149" s="6"/>
      <c r="P149" s="6"/>
      <c r="Q149" s="6"/>
      <c r="R149" s="6"/>
      <c r="S149" s="6"/>
      <c r="T149" s="6"/>
      <c r="U149" s="6"/>
      <c r="V149" s="6"/>
      <c r="W149" s="6"/>
      <c r="X149" s="6"/>
      <c r="Y149" s="6"/>
      <c r="Z149" s="6"/>
    </row>
    <row r="150" ht="18.0" customHeight="1">
      <c r="A150" s="288" t="s">
        <v>1785</v>
      </c>
      <c r="B150" s="288" t="s">
        <v>1786</v>
      </c>
      <c r="C150" s="20"/>
      <c r="D150" s="20"/>
      <c r="E150" s="20"/>
      <c r="F150" s="6"/>
      <c r="G150" s="6"/>
      <c r="H150" s="6"/>
      <c r="I150" s="6"/>
      <c r="J150" s="6"/>
      <c r="K150" s="6"/>
      <c r="L150" s="6"/>
      <c r="M150" s="6"/>
      <c r="N150" s="6"/>
      <c r="O150" s="6"/>
      <c r="P150" s="6"/>
      <c r="Q150" s="6"/>
      <c r="R150" s="6"/>
      <c r="S150" s="6"/>
      <c r="T150" s="6"/>
      <c r="U150" s="6"/>
      <c r="V150" s="6"/>
      <c r="W150" s="6"/>
      <c r="X150" s="6"/>
      <c r="Y150" s="6"/>
      <c r="Z150" s="6"/>
    </row>
    <row r="151" ht="18.0" customHeight="1">
      <c r="A151" s="288" t="s">
        <v>1047</v>
      </c>
      <c r="B151" s="288" t="s">
        <v>1787</v>
      </c>
      <c r="C151" s="20"/>
      <c r="D151" s="20"/>
      <c r="E151" s="20"/>
      <c r="F151" s="6"/>
      <c r="G151" s="6"/>
      <c r="H151" s="6"/>
      <c r="I151" s="6"/>
      <c r="J151" s="6"/>
      <c r="K151" s="6"/>
      <c r="L151" s="6"/>
      <c r="M151" s="6"/>
      <c r="N151" s="6"/>
      <c r="O151" s="6"/>
      <c r="P151" s="6"/>
      <c r="Q151" s="6"/>
      <c r="R151" s="6"/>
      <c r="S151" s="6"/>
      <c r="T151" s="6"/>
      <c r="U151" s="6"/>
      <c r="V151" s="6"/>
      <c r="W151" s="6"/>
      <c r="X151" s="6"/>
      <c r="Y151" s="6"/>
      <c r="Z151" s="6"/>
    </row>
    <row r="152" ht="18.0" customHeight="1">
      <c r="A152" s="288" t="s">
        <v>812</v>
      </c>
      <c r="B152" s="288" t="s">
        <v>1788</v>
      </c>
      <c r="C152" s="20"/>
      <c r="D152" s="20"/>
      <c r="E152" s="20"/>
      <c r="F152" s="6"/>
      <c r="G152" s="6"/>
      <c r="H152" s="6"/>
      <c r="I152" s="6"/>
      <c r="J152" s="6"/>
      <c r="K152" s="6"/>
      <c r="L152" s="6"/>
      <c r="M152" s="6"/>
      <c r="N152" s="6"/>
      <c r="O152" s="6"/>
      <c r="P152" s="6"/>
      <c r="Q152" s="6"/>
      <c r="R152" s="6"/>
      <c r="S152" s="6"/>
      <c r="T152" s="6"/>
      <c r="U152" s="6"/>
      <c r="V152" s="6"/>
      <c r="W152" s="6"/>
      <c r="X152" s="6"/>
      <c r="Y152" s="6"/>
      <c r="Z152" s="6"/>
    </row>
    <row r="153" ht="18.0" customHeight="1">
      <c r="A153" s="288" t="s">
        <v>1789</v>
      </c>
      <c r="B153" s="288" t="s">
        <v>1790</v>
      </c>
      <c r="C153" s="20"/>
      <c r="D153" s="20"/>
      <c r="E153" s="20"/>
      <c r="F153" s="6"/>
      <c r="G153" s="6"/>
      <c r="H153" s="6"/>
      <c r="I153" s="6"/>
      <c r="J153" s="6"/>
      <c r="K153" s="6"/>
      <c r="L153" s="6"/>
      <c r="M153" s="6"/>
      <c r="N153" s="6"/>
      <c r="O153" s="6"/>
      <c r="P153" s="6"/>
      <c r="Q153" s="6"/>
      <c r="R153" s="6"/>
      <c r="S153" s="6"/>
      <c r="T153" s="6"/>
      <c r="U153" s="6"/>
      <c r="V153" s="6"/>
      <c r="W153" s="6"/>
      <c r="X153" s="6"/>
      <c r="Y153" s="6"/>
      <c r="Z153" s="6"/>
    </row>
    <row r="154" ht="18.0" customHeight="1">
      <c r="A154" s="288" t="s">
        <v>1791</v>
      </c>
      <c r="B154" s="288" t="s">
        <v>1792</v>
      </c>
      <c r="C154" s="20"/>
      <c r="D154" s="20"/>
      <c r="E154" s="20"/>
      <c r="F154" s="6"/>
      <c r="G154" s="6"/>
      <c r="H154" s="6"/>
      <c r="I154" s="6"/>
      <c r="J154" s="6"/>
      <c r="K154" s="6"/>
      <c r="L154" s="6"/>
      <c r="M154" s="6"/>
      <c r="N154" s="6"/>
      <c r="O154" s="6"/>
      <c r="P154" s="6"/>
      <c r="Q154" s="6"/>
      <c r="R154" s="6"/>
      <c r="S154" s="6"/>
      <c r="T154" s="6"/>
      <c r="U154" s="6"/>
      <c r="V154" s="6"/>
      <c r="W154" s="6"/>
      <c r="X154" s="6"/>
      <c r="Y154" s="6"/>
      <c r="Z154" s="6"/>
    </row>
    <row r="155" ht="18.0" customHeight="1">
      <c r="A155" s="288" t="s">
        <v>1793</v>
      </c>
      <c r="B155" s="288" t="s">
        <v>1794</v>
      </c>
      <c r="C155" s="20"/>
      <c r="D155" s="20"/>
      <c r="E155" s="20"/>
      <c r="F155" s="6"/>
      <c r="G155" s="6"/>
      <c r="H155" s="6"/>
      <c r="I155" s="6"/>
      <c r="J155" s="6"/>
      <c r="K155" s="6"/>
      <c r="L155" s="6"/>
      <c r="M155" s="6"/>
      <c r="N155" s="6"/>
      <c r="O155" s="6"/>
      <c r="P155" s="6"/>
      <c r="Q155" s="6"/>
      <c r="R155" s="6"/>
      <c r="S155" s="6"/>
      <c r="T155" s="6"/>
      <c r="U155" s="6"/>
      <c r="V155" s="6"/>
      <c r="W155" s="6"/>
      <c r="X155" s="6"/>
      <c r="Y155" s="6"/>
      <c r="Z155" s="6"/>
    </row>
    <row r="156" ht="18.0" customHeight="1">
      <c r="A156" s="288" t="s">
        <v>1795</v>
      </c>
      <c r="B156" s="288" t="s">
        <v>1796</v>
      </c>
      <c r="C156" s="20"/>
      <c r="D156" s="20"/>
      <c r="E156" s="20"/>
      <c r="F156" s="6"/>
      <c r="G156" s="6"/>
      <c r="H156" s="6"/>
      <c r="I156" s="6"/>
      <c r="J156" s="6"/>
      <c r="K156" s="6"/>
      <c r="L156" s="6"/>
      <c r="M156" s="6"/>
      <c r="N156" s="6"/>
      <c r="O156" s="6"/>
      <c r="P156" s="6"/>
      <c r="Q156" s="6"/>
      <c r="R156" s="6"/>
      <c r="S156" s="6"/>
      <c r="T156" s="6"/>
      <c r="U156" s="6"/>
      <c r="V156" s="6"/>
      <c r="W156" s="6"/>
      <c r="X156" s="6"/>
      <c r="Y156" s="6"/>
      <c r="Z156" s="6"/>
    </row>
    <row r="157" ht="18.0" customHeight="1">
      <c r="A157" s="288" t="s">
        <v>1797</v>
      </c>
      <c r="B157" s="288" t="s">
        <v>1798</v>
      </c>
      <c r="C157" s="20"/>
      <c r="D157" s="20"/>
      <c r="E157" s="20"/>
      <c r="F157" s="6"/>
      <c r="G157" s="6"/>
      <c r="H157" s="6"/>
      <c r="I157" s="6"/>
      <c r="J157" s="6"/>
      <c r="K157" s="6"/>
      <c r="L157" s="6"/>
      <c r="M157" s="6"/>
      <c r="N157" s="6"/>
      <c r="O157" s="6"/>
      <c r="P157" s="6"/>
      <c r="Q157" s="6"/>
      <c r="R157" s="6"/>
      <c r="S157" s="6"/>
      <c r="T157" s="6"/>
      <c r="U157" s="6"/>
      <c r="V157" s="6"/>
      <c r="W157" s="6"/>
      <c r="X157" s="6"/>
      <c r="Y157" s="6"/>
      <c r="Z157" s="6"/>
    </row>
    <row r="158" ht="18.0" customHeight="1">
      <c r="A158" s="288" t="s">
        <v>1799</v>
      </c>
      <c r="B158" s="288" t="s">
        <v>1800</v>
      </c>
      <c r="C158" s="20"/>
      <c r="D158" s="20"/>
      <c r="E158" s="20"/>
      <c r="F158" s="6"/>
      <c r="G158" s="6"/>
      <c r="H158" s="6"/>
      <c r="I158" s="6"/>
      <c r="J158" s="6"/>
      <c r="K158" s="6"/>
      <c r="L158" s="6"/>
      <c r="M158" s="6"/>
      <c r="N158" s="6"/>
      <c r="O158" s="6"/>
      <c r="P158" s="6"/>
      <c r="Q158" s="6"/>
      <c r="R158" s="6"/>
      <c r="S158" s="6"/>
      <c r="T158" s="6"/>
      <c r="U158" s="6"/>
      <c r="V158" s="6"/>
      <c r="W158" s="6"/>
      <c r="X158" s="6"/>
      <c r="Y158" s="6"/>
      <c r="Z158" s="6"/>
    </row>
    <row r="159" ht="18.0" customHeight="1">
      <c r="A159" s="288" t="s">
        <v>1801</v>
      </c>
      <c r="B159" s="288" t="s">
        <v>1802</v>
      </c>
      <c r="C159" s="20"/>
      <c r="D159" s="20"/>
      <c r="E159" s="20"/>
      <c r="F159" s="6"/>
      <c r="G159" s="6"/>
      <c r="H159" s="6"/>
      <c r="I159" s="6"/>
      <c r="J159" s="6"/>
      <c r="K159" s="6"/>
      <c r="L159" s="6"/>
      <c r="M159" s="6"/>
      <c r="N159" s="6"/>
      <c r="O159" s="6"/>
      <c r="P159" s="6"/>
      <c r="Q159" s="6"/>
      <c r="R159" s="6"/>
      <c r="S159" s="6"/>
      <c r="T159" s="6"/>
      <c r="U159" s="6"/>
      <c r="V159" s="6"/>
      <c r="W159" s="6"/>
      <c r="X159" s="6"/>
      <c r="Y159" s="6"/>
      <c r="Z159" s="6"/>
    </row>
    <row r="160" ht="18.0" customHeight="1">
      <c r="A160" s="288" t="s">
        <v>1803</v>
      </c>
      <c r="B160" s="288" t="s">
        <v>1804</v>
      </c>
      <c r="C160" s="20"/>
      <c r="D160" s="20"/>
      <c r="E160" s="20"/>
      <c r="F160" s="6"/>
      <c r="G160" s="6"/>
      <c r="H160" s="6"/>
      <c r="I160" s="6"/>
      <c r="J160" s="6"/>
      <c r="K160" s="6"/>
      <c r="L160" s="6"/>
      <c r="M160" s="6"/>
      <c r="N160" s="6"/>
      <c r="O160" s="6"/>
      <c r="P160" s="6"/>
      <c r="Q160" s="6"/>
      <c r="R160" s="6"/>
      <c r="S160" s="6"/>
      <c r="T160" s="6"/>
      <c r="U160" s="6"/>
      <c r="V160" s="6"/>
      <c r="W160" s="6"/>
      <c r="X160" s="6"/>
      <c r="Y160" s="6"/>
      <c r="Z160" s="6"/>
    </row>
    <row r="161" ht="18.0" customHeight="1">
      <c r="A161" s="288" t="s">
        <v>1805</v>
      </c>
      <c r="B161" s="288" t="s">
        <v>1806</v>
      </c>
      <c r="C161" s="20"/>
      <c r="D161" s="20"/>
      <c r="E161" s="20"/>
      <c r="F161" s="6"/>
      <c r="G161" s="6"/>
      <c r="H161" s="6"/>
      <c r="I161" s="6"/>
      <c r="J161" s="6"/>
      <c r="K161" s="6"/>
      <c r="L161" s="6"/>
      <c r="M161" s="6"/>
      <c r="N161" s="6"/>
      <c r="O161" s="6"/>
      <c r="P161" s="6"/>
      <c r="Q161" s="6"/>
      <c r="R161" s="6"/>
      <c r="S161" s="6"/>
      <c r="T161" s="6"/>
      <c r="U161" s="6"/>
      <c r="V161" s="6"/>
      <c r="W161" s="6"/>
      <c r="X161" s="6"/>
      <c r="Y161" s="6"/>
      <c r="Z161" s="6"/>
    </row>
    <row r="162" ht="18.0" customHeight="1">
      <c r="A162" s="288" t="s">
        <v>1807</v>
      </c>
      <c r="B162" s="288" t="s">
        <v>1808</v>
      </c>
      <c r="C162" s="20"/>
      <c r="D162" s="20"/>
      <c r="E162" s="20"/>
      <c r="F162" s="6"/>
      <c r="G162" s="6"/>
      <c r="H162" s="6"/>
      <c r="I162" s="6"/>
      <c r="J162" s="6"/>
      <c r="K162" s="6"/>
      <c r="L162" s="6"/>
      <c r="M162" s="6"/>
      <c r="N162" s="6"/>
      <c r="O162" s="6"/>
      <c r="P162" s="6"/>
      <c r="Q162" s="6"/>
      <c r="R162" s="6"/>
      <c r="S162" s="6"/>
      <c r="T162" s="6"/>
      <c r="U162" s="6"/>
      <c r="V162" s="6"/>
      <c r="W162" s="6"/>
      <c r="X162" s="6"/>
      <c r="Y162" s="6"/>
      <c r="Z162" s="6"/>
    </row>
    <row r="163" ht="18.0" customHeight="1">
      <c r="A163" s="288" t="s">
        <v>884</v>
      </c>
      <c r="B163" s="288" t="s">
        <v>1809</v>
      </c>
      <c r="C163" s="20"/>
      <c r="D163" s="20"/>
      <c r="E163" s="20"/>
      <c r="F163" s="6"/>
      <c r="G163" s="6"/>
      <c r="H163" s="6"/>
      <c r="I163" s="6"/>
      <c r="J163" s="6"/>
      <c r="K163" s="6"/>
      <c r="L163" s="6"/>
      <c r="M163" s="6"/>
      <c r="N163" s="6"/>
      <c r="O163" s="6"/>
      <c r="P163" s="6"/>
      <c r="Q163" s="6"/>
      <c r="R163" s="6"/>
      <c r="S163" s="6"/>
      <c r="T163" s="6"/>
      <c r="U163" s="6"/>
      <c r="V163" s="6"/>
      <c r="W163" s="6"/>
      <c r="X163" s="6"/>
      <c r="Y163" s="6"/>
      <c r="Z163" s="6"/>
    </row>
    <row r="164" ht="18.0" customHeight="1">
      <c r="A164" s="288" t="s">
        <v>993</v>
      </c>
      <c r="B164" s="288" t="s">
        <v>1810</v>
      </c>
      <c r="C164" s="20"/>
      <c r="D164" s="20"/>
      <c r="E164" s="20"/>
      <c r="F164" s="6"/>
      <c r="G164" s="6"/>
      <c r="H164" s="6"/>
      <c r="I164" s="6"/>
      <c r="J164" s="6"/>
      <c r="K164" s="6"/>
      <c r="L164" s="6"/>
      <c r="M164" s="6"/>
      <c r="N164" s="6"/>
      <c r="O164" s="6"/>
      <c r="P164" s="6"/>
      <c r="Q164" s="6"/>
      <c r="R164" s="6"/>
      <c r="S164" s="6"/>
      <c r="T164" s="6"/>
      <c r="U164" s="6"/>
      <c r="V164" s="6"/>
      <c r="W164" s="6"/>
      <c r="X164" s="6"/>
      <c r="Y164" s="6"/>
      <c r="Z164" s="6"/>
    </row>
    <row r="165" ht="18.0" customHeight="1">
      <c r="A165" s="288" t="s">
        <v>1811</v>
      </c>
      <c r="B165" s="288" t="s">
        <v>1812</v>
      </c>
      <c r="C165" s="20"/>
      <c r="D165" s="20"/>
      <c r="E165" s="20"/>
      <c r="F165" s="6"/>
      <c r="G165" s="6"/>
      <c r="H165" s="6"/>
      <c r="I165" s="6"/>
      <c r="J165" s="6"/>
      <c r="K165" s="6"/>
      <c r="L165" s="6"/>
      <c r="M165" s="6"/>
      <c r="N165" s="6"/>
      <c r="O165" s="6"/>
      <c r="P165" s="6"/>
      <c r="Q165" s="6"/>
      <c r="R165" s="6"/>
      <c r="S165" s="6"/>
      <c r="T165" s="6"/>
      <c r="U165" s="6"/>
      <c r="V165" s="6"/>
      <c r="W165" s="6"/>
      <c r="X165" s="6"/>
      <c r="Y165" s="6"/>
      <c r="Z165" s="6"/>
    </row>
    <row r="166" ht="18.0" customHeight="1">
      <c r="A166" s="288" t="s">
        <v>881</v>
      </c>
      <c r="B166" s="288" t="s">
        <v>1813</v>
      </c>
      <c r="C166" s="20"/>
      <c r="D166" s="20"/>
      <c r="E166" s="20"/>
      <c r="F166" s="6"/>
      <c r="G166" s="6"/>
      <c r="H166" s="6"/>
      <c r="I166" s="6"/>
      <c r="J166" s="6"/>
      <c r="K166" s="6"/>
      <c r="L166" s="6"/>
      <c r="M166" s="6"/>
      <c r="N166" s="6"/>
      <c r="O166" s="6"/>
      <c r="P166" s="6"/>
      <c r="Q166" s="6"/>
      <c r="R166" s="6"/>
      <c r="S166" s="6"/>
      <c r="T166" s="6"/>
      <c r="U166" s="6"/>
      <c r="V166" s="6"/>
      <c r="W166" s="6"/>
      <c r="X166" s="6"/>
      <c r="Y166" s="6"/>
      <c r="Z166" s="6"/>
    </row>
    <row r="167" ht="18.0" customHeight="1">
      <c r="A167" s="288" t="s">
        <v>996</v>
      </c>
      <c r="B167" s="288" t="s">
        <v>1814</v>
      </c>
      <c r="C167" s="20"/>
      <c r="D167" s="20"/>
      <c r="E167" s="20"/>
      <c r="F167" s="6"/>
      <c r="G167" s="6"/>
      <c r="H167" s="6"/>
      <c r="I167" s="6"/>
      <c r="J167" s="6"/>
      <c r="K167" s="6"/>
      <c r="L167" s="6"/>
      <c r="M167" s="6"/>
      <c r="N167" s="6"/>
      <c r="O167" s="6"/>
      <c r="P167" s="6"/>
      <c r="Q167" s="6"/>
      <c r="R167" s="6"/>
      <c r="S167" s="6"/>
      <c r="T167" s="6"/>
      <c r="U167" s="6"/>
      <c r="V167" s="6"/>
      <c r="W167" s="6"/>
      <c r="X167" s="6"/>
      <c r="Y167" s="6"/>
      <c r="Z167" s="6"/>
    </row>
    <row r="168" ht="18.0" customHeight="1">
      <c r="A168" s="288" t="s">
        <v>1085</v>
      </c>
      <c r="B168" s="288" t="s">
        <v>1815</v>
      </c>
      <c r="C168" s="20"/>
      <c r="D168" s="20"/>
      <c r="E168" s="20"/>
      <c r="F168" s="6"/>
      <c r="G168" s="6"/>
      <c r="H168" s="6"/>
      <c r="I168" s="6"/>
      <c r="J168" s="6"/>
      <c r="K168" s="6"/>
      <c r="L168" s="6"/>
      <c r="M168" s="6"/>
      <c r="N168" s="6"/>
      <c r="O168" s="6"/>
      <c r="P168" s="6"/>
      <c r="Q168" s="6"/>
      <c r="R168" s="6"/>
      <c r="S168" s="6"/>
      <c r="T168" s="6"/>
      <c r="U168" s="6"/>
      <c r="V168" s="6"/>
      <c r="W168" s="6"/>
      <c r="X168" s="6"/>
      <c r="Y168" s="6"/>
      <c r="Z168" s="6"/>
    </row>
    <row r="169" ht="18.0" customHeight="1">
      <c r="A169" s="288" t="s">
        <v>1816</v>
      </c>
      <c r="B169" s="288" t="s">
        <v>1817</v>
      </c>
      <c r="C169" s="20"/>
      <c r="D169" s="20"/>
      <c r="E169" s="20"/>
      <c r="F169" s="6"/>
      <c r="G169" s="6"/>
      <c r="H169" s="6"/>
      <c r="I169" s="6"/>
      <c r="J169" s="6"/>
      <c r="K169" s="6"/>
      <c r="L169" s="6"/>
      <c r="M169" s="6"/>
      <c r="N169" s="6"/>
      <c r="O169" s="6"/>
      <c r="P169" s="6"/>
      <c r="Q169" s="6"/>
      <c r="R169" s="6"/>
      <c r="S169" s="6"/>
      <c r="T169" s="6"/>
      <c r="U169" s="6"/>
      <c r="V169" s="6"/>
      <c r="W169" s="6"/>
      <c r="X169" s="6"/>
      <c r="Y169" s="6"/>
      <c r="Z169" s="6"/>
    </row>
    <row r="170" ht="18.0" customHeight="1">
      <c r="A170" s="288" t="s">
        <v>1818</v>
      </c>
      <c r="B170" s="288" t="s">
        <v>1819</v>
      </c>
      <c r="C170" s="20"/>
      <c r="D170" s="20"/>
      <c r="E170" s="20"/>
      <c r="F170" s="6"/>
      <c r="G170" s="6"/>
      <c r="H170" s="6"/>
      <c r="I170" s="6"/>
      <c r="J170" s="6"/>
      <c r="K170" s="6"/>
      <c r="L170" s="6"/>
      <c r="M170" s="6"/>
      <c r="N170" s="6"/>
      <c r="O170" s="6"/>
      <c r="P170" s="6"/>
      <c r="Q170" s="6"/>
      <c r="R170" s="6"/>
      <c r="S170" s="6"/>
      <c r="T170" s="6"/>
      <c r="U170" s="6"/>
      <c r="V170" s="6"/>
      <c r="W170" s="6"/>
      <c r="X170" s="6"/>
      <c r="Y170" s="6"/>
      <c r="Z170" s="6"/>
    </row>
    <row r="171" ht="18.0" customHeight="1">
      <c r="A171" s="288" t="s">
        <v>1820</v>
      </c>
      <c r="B171" s="288" t="s">
        <v>1821</v>
      </c>
      <c r="C171" s="20"/>
      <c r="D171" s="20"/>
      <c r="E171" s="20"/>
      <c r="F171" s="6"/>
      <c r="G171" s="6"/>
      <c r="H171" s="6"/>
      <c r="I171" s="6"/>
      <c r="J171" s="6"/>
      <c r="K171" s="6"/>
      <c r="L171" s="6"/>
      <c r="M171" s="6"/>
      <c r="N171" s="6"/>
      <c r="O171" s="6"/>
      <c r="P171" s="6"/>
      <c r="Q171" s="6"/>
      <c r="R171" s="6"/>
      <c r="S171" s="6"/>
      <c r="T171" s="6"/>
      <c r="U171" s="6"/>
      <c r="V171" s="6"/>
      <c r="W171" s="6"/>
      <c r="X171" s="6"/>
      <c r="Y171" s="6"/>
      <c r="Z171" s="6"/>
    </row>
    <row r="172" ht="18.0" customHeight="1">
      <c r="A172" s="288" t="s">
        <v>1822</v>
      </c>
      <c r="B172" s="288" t="s">
        <v>1823</v>
      </c>
      <c r="C172" s="20"/>
      <c r="D172" s="20"/>
      <c r="E172" s="20"/>
      <c r="F172" s="6"/>
      <c r="G172" s="6"/>
      <c r="H172" s="6"/>
      <c r="I172" s="6"/>
      <c r="J172" s="6"/>
      <c r="K172" s="6"/>
      <c r="L172" s="6"/>
      <c r="M172" s="6"/>
      <c r="N172" s="6"/>
      <c r="O172" s="6"/>
      <c r="P172" s="6"/>
      <c r="Q172" s="6"/>
      <c r="R172" s="6"/>
      <c r="S172" s="6"/>
      <c r="T172" s="6"/>
      <c r="U172" s="6"/>
      <c r="V172" s="6"/>
      <c r="W172" s="6"/>
      <c r="X172" s="6"/>
      <c r="Y172" s="6"/>
      <c r="Z172" s="6"/>
    </row>
    <row r="173" ht="18.0" customHeight="1">
      <c r="A173" s="288" t="s">
        <v>951</v>
      </c>
      <c r="B173" s="288" t="s">
        <v>1824</v>
      </c>
      <c r="C173" s="20"/>
      <c r="D173" s="20"/>
      <c r="E173" s="20"/>
      <c r="F173" s="6"/>
      <c r="G173" s="6"/>
      <c r="H173" s="6"/>
      <c r="I173" s="6"/>
      <c r="J173" s="6"/>
      <c r="K173" s="6"/>
      <c r="L173" s="6"/>
      <c r="M173" s="6"/>
      <c r="N173" s="6"/>
      <c r="O173" s="6"/>
      <c r="P173" s="6"/>
      <c r="Q173" s="6"/>
      <c r="R173" s="6"/>
      <c r="S173" s="6"/>
      <c r="T173" s="6"/>
      <c r="U173" s="6"/>
      <c r="V173" s="6"/>
      <c r="W173" s="6"/>
      <c r="X173" s="6"/>
      <c r="Y173" s="6"/>
      <c r="Z173" s="6"/>
    </row>
    <row r="174" ht="18.0" customHeight="1">
      <c r="A174" s="288" t="s">
        <v>948</v>
      </c>
      <c r="B174" s="288" t="s">
        <v>1825</v>
      </c>
      <c r="C174" s="20"/>
      <c r="D174" s="20"/>
      <c r="E174" s="20"/>
      <c r="F174" s="6"/>
      <c r="G174" s="6"/>
      <c r="H174" s="6"/>
      <c r="I174" s="6"/>
      <c r="J174" s="6"/>
      <c r="K174" s="6"/>
      <c r="L174" s="6"/>
      <c r="M174" s="6"/>
      <c r="N174" s="6"/>
      <c r="O174" s="6"/>
      <c r="P174" s="6"/>
      <c r="Q174" s="6"/>
      <c r="R174" s="6"/>
      <c r="S174" s="6"/>
      <c r="T174" s="6"/>
      <c r="U174" s="6"/>
      <c r="V174" s="6"/>
      <c r="W174" s="6"/>
      <c r="X174" s="6"/>
      <c r="Y174" s="6"/>
      <c r="Z174" s="6"/>
    </row>
    <row r="175" ht="18.0" customHeight="1">
      <c r="A175" s="288" t="s">
        <v>976</v>
      </c>
      <c r="B175" s="288" t="s">
        <v>1826</v>
      </c>
      <c r="C175" s="20"/>
      <c r="D175" s="20"/>
      <c r="E175" s="20"/>
      <c r="F175" s="6"/>
      <c r="G175" s="6"/>
      <c r="H175" s="6"/>
      <c r="I175" s="6"/>
      <c r="J175" s="6"/>
      <c r="K175" s="6"/>
      <c r="L175" s="6"/>
      <c r="M175" s="6"/>
      <c r="N175" s="6"/>
      <c r="O175" s="6"/>
      <c r="P175" s="6"/>
      <c r="Q175" s="6"/>
      <c r="R175" s="6"/>
      <c r="S175" s="6"/>
      <c r="T175" s="6"/>
      <c r="U175" s="6"/>
      <c r="V175" s="6"/>
      <c r="W175" s="6"/>
      <c r="X175" s="6"/>
      <c r="Y175" s="6"/>
      <c r="Z175" s="6"/>
    </row>
    <row r="176" ht="18.0" customHeight="1">
      <c r="A176" s="288" t="s">
        <v>1000</v>
      </c>
      <c r="B176" s="288" t="s">
        <v>1827</v>
      </c>
      <c r="C176" s="20"/>
      <c r="D176" s="20"/>
      <c r="E176" s="20"/>
      <c r="F176" s="6"/>
      <c r="G176" s="6"/>
      <c r="H176" s="6"/>
      <c r="I176" s="6"/>
      <c r="J176" s="6"/>
      <c r="K176" s="6"/>
      <c r="L176" s="6"/>
      <c r="M176" s="6"/>
      <c r="N176" s="6"/>
      <c r="O176" s="6"/>
      <c r="P176" s="6"/>
      <c r="Q176" s="6"/>
      <c r="R176" s="6"/>
      <c r="S176" s="6"/>
      <c r="T176" s="6"/>
      <c r="U176" s="6"/>
      <c r="V176" s="6"/>
      <c r="W176" s="6"/>
      <c r="X176" s="6"/>
      <c r="Y176" s="6"/>
      <c r="Z176" s="6"/>
    </row>
    <row r="177" ht="18.0" customHeight="1">
      <c r="A177" s="288" t="s">
        <v>1007</v>
      </c>
      <c r="B177" s="288" t="s">
        <v>1828</v>
      </c>
      <c r="C177" s="20"/>
      <c r="D177" s="20"/>
      <c r="E177" s="20"/>
      <c r="F177" s="6"/>
      <c r="G177" s="6"/>
      <c r="H177" s="6"/>
      <c r="I177" s="6"/>
      <c r="J177" s="6"/>
      <c r="K177" s="6"/>
      <c r="L177" s="6"/>
      <c r="M177" s="6"/>
      <c r="N177" s="6"/>
      <c r="O177" s="6"/>
      <c r="P177" s="6"/>
      <c r="Q177" s="6"/>
      <c r="R177" s="6"/>
      <c r="S177" s="6"/>
      <c r="T177" s="6"/>
      <c r="U177" s="6"/>
      <c r="V177" s="6"/>
      <c r="W177" s="6"/>
      <c r="X177" s="6"/>
      <c r="Y177" s="6"/>
      <c r="Z177" s="6"/>
    </row>
    <row r="178" ht="18.0" customHeight="1">
      <c r="A178" s="288" t="s">
        <v>932</v>
      </c>
      <c r="B178" s="288" t="s">
        <v>1829</v>
      </c>
      <c r="C178" s="20"/>
      <c r="D178" s="20"/>
      <c r="E178" s="20"/>
      <c r="F178" s="6"/>
      <c r="G178" s="6"/>
      <c r="H178" s="6"/>
      <c r="I178" s="6"/>
      <c r="J178" s="6"/>
      <c r="K178" s="6"/>
      <c r="L178" s="6"/>
      <c r="M178" s="6"/>
      <c r="N178" s="6"/>
      <c r="O178" s="6"/>
      <c r="P178" s="6"/>
      <c r="Q178" s="6"/>
      <c r="R178" s="6"/>
      <c r="S178" s="6"/>
      <c r="T178" s="6"/>
      <c r="U178" s="6"/>
      <c r="V178" s="6"/>
      <c r="W178" s="6"/>
      <c r="X178" s="6"/>
      <c r="Y178" s="6"/>
      <c r="Z178" s="6"/>
    </row>
    <row r="179" ht="18.0" customHeight="1">
      <c r="A179" s="288" t="s">
        <v>1062</v>
      </c>
      <c r="B179" s="288" t="s">
        <v>1830</v>
      </c>
      <c r="C179" s="20"/>
      <c r="D179" s="20"/>
      <c r="E179" s="20"/>
      <c r="F179" s="6"/>
      <c r="G179" s="6"/>
      <c r="H179" s="6"/>
      <c r="I179" s="6"/>
      <c r="J179" s="6"/>
      <c r="K179" s="6"/>
      <c r="L179" s="6"/>
      <c r="M179" s="6"/>
      <c r="N179" s="6"/>
      <c r="O179" s="6"/>
      <c r="P179" s="6"/>
      <c r="Q179" s="6"/>
      <c r="R179" s="6"/>
      <c r="S179" s="6"/>
      <c r="T179" s="6"/>
      <c r="U179" s="6"/>
      <c r="V179" s="6"/>
      <c r="W179" s="6"/>
      <c r="X179" s="6"/>
      <c r="Y179" s="6"/>
      <c r="Z179" s="6"/>
    </row>
    <row r="180" ht="18.0" customHeight="1">
      <c r="A180" s="288" t="s">
        <v>1096</v>
      </c>
      <c r="B180" s="288" t="s">
        <v>1831</v>
      </c>
      <c r="C180" s="20"/>
      <c r="D180" s="20"/>
      <c r="E180" s="20"/>
      <c r="F180" s="6"/>
      <c r="G180" s="6"/>
      <c r="H180" s="6"/>
      <c r="I180" s="6"/>
      <c r="J180" s="6"/>
      <c r="K180" s="6"/>
      <c r="L180" s="6"/>
      <c r="M180" s="6"/>
      <c r="N180" s="6"/>
      <c r="O180" s="6"/>
      <c r="P180" s="6"/>
      <c r="Q180" s="6"/>
      <c r="R180" s="6"/>
      <c r="S180" s="6"/>
      <c r="T180" s="6"/>
      <c r="U180" s="6"/>
      <c r="V180" s="6"/>
      <c r="W180" s="6"/>
      <c r="X180" s="6"/>
      <c r="Y180" s="6"/>
      <c r="Z180" s="6"/>
    </row>
    <row r="181" ht="18.0" customHeight="1">
      <c r="A181" s="288" t="s">
        <v>1066</v>
      </c>
      <c r="B181" s="288" t="s">
        <v>1832</v>
      </c>
      <c r="C181" s="20"/>
      <c r="D181" s="20"/>
      <c r="E181" s="20"/>
      <c r="F181" s="6"/>
      <c r="G181" s="6"/>
      <c r="H181" s="6"/>
      <c r="I181" s="6"/>
      <c r="J181" s="6"/>
      <c r="K181" s="6"/>
      <c r="L181" s="6"/>
      <c r="M181" s="6"/>
      <c r="N181" s="6"/>
      <c r="O181" s="6"/>
      <c r="P181" s="6"/>
      <c r="Q181" s="6"/>
      <c r="R181" s="6"/>
      <c r="S181" s="6"/>
      <c r="T181" s="6"/>
      <c r="U181" s="6"/>
      <c r="V181" s="6"/>
      <c r="W181" s="6"/>
      <c r="X181" s="6"/>
      <c r="Y181" s="6"/>
      <c r="Z181" s="6"/>
    </row>
    <row r="182" ht="18.0" customHeight="1">
      <c r="A182" s="288" t="s">
        <v>924</v>
      </c>
      <c r="B182" s="288" t="s">
        <v>1833</v>
      </c>
      <c r="C182" s="20"/>
      <c r="D182" s="20"/>
      <c r="E182" s="20"/>
      <c r="F182" s="6"/>
      <c r="G182" s="6"/>
      <c r="H182" s="6"/>
      <c r="I182" s="6"/>
      <c r="J182" s="6"/>
      <c r="K182" s="6"/>
      <c r="L182" s="6"/>
      <c r="M182" s="6"/>
      <c r="N182" s="6"/>
      <c r="O182" s="6"/>
      <c r="P182" s="6"/>
      <c r="Q182" s="6"/>
      <c r="R182" s="6"/>
      <c r="S182" s="6"/>
      <c r="T182" s="6"/>
      <c r="U182" s="6"/>
      <c r="V182" s="6"/>
      <c r="W182" s="6"/>
      <c r="X182" s="6"/>
      <c r="Y182" s="6"/>
      <c r="Z182" s="6"/>
    </row>
    <row r="183" ht="18.0" customHeight="1">
      <c r="A183" s="288" t="s">
        <v>963</v>
      </c>
      <c r="B183" s="288" t="s">
        <v>1834</v>
      </c>
      <c r="C183" s="20"/>
      <c r="D183" s="20"/>
      <c r="E183" s="20"/>
      <c r="F183" s="6"/>
      <c r="G183" s="6"/>
      <c r="H183" s="6"/>
      <c r="I183" s="6"/>
      <c r="J183" s="6"/>
      <c r="K183" s="6"/>
      <c r="L183" s="6"/>
      <c r="M183" s="6"/>
      <c r="N183" s="6"/>
      <c r="O183" s="6"/>
      <c r="P183" s="6"/>
      <c r="Q183" s="6"/>
      <c r="R183" s="6"/>
      <c r="S183" s="6"/>
      <c r="T183" s="6"/>
      <c r="U183" s="6"/>
      <c r="V183" s="6"/>
      <c r="W183" s="6"/>
      <c r="X183" s="6"/>
      <c r="Y183" s="6"/>
      <c r="Z183" s="6"/>
    </row>
    <row r="184" ht="18.0" customHeight="1">
      <c r="A184" s="288" t="s">
        <v>1835</v>
      </c>
      <c r="B184" s="288" t="s">
        <v>1836</v>
      </c>
      <c r="C184" s="20"/>
      <c r="D184" s="20"/>
      <c r="E184" s="20"/>
      <c r="F184" s="6"/>
      <c r="G184" s="6"/>
      <c r="H184" s="6"/>
      <c r="I184" s="6"/>
      <c r="J184" s="6"/>
      <c r="K184" s="6"/>
      <c r="L184" s="6"/>
      <c r="M184" s="6"/>
      <c r="N184" s="6"/>
      <c r="O184" s="6"/>
      <c r="P184" s="6"/>
      <c r="Q184" s="6"/>
      <c r="R184" s="6"/>
      <c r="S184" s="6"/>
      <c r="T184" s="6"/>
      <c r="U184" s="6"/>
      <c r="V184" s="6"/>
      <c r="W184" s="6"/>
      <c r="X184" s="6"/>
      <c r="Y184" s="6"/>
      <c r="Z184" s="6"/>
    </row>
    <row r="185" ht="18.0" customHeight="1">
      <c r="A185" s="288" t="s">
        <v>1837</v>
      </c>
      <c r="B185" s="288" t="s">
        <v>1838</v>
      </c>
      <c r="C185" s="20"/>
      <c r="D185" s="20"/>
      <c r="E185" s="20"/>
      <c r="F185" s="6"/>
      <c r="G185" s="6"/>
      <c r="H185" s="6"/>
      <c r="I185" s="6"/>
      <c r="J185" s="6"/>
      <c r="K185" s="6"/>
      <c r="L185" s="6"/>
      <c r="M185" s="6"/>
      <c r="N185" s="6"/>
      <c r="O185" s="6"/>
      <c r="P185" s="6"/>
      <c r="Q185" s="6"/>
      <c r="R185" s="6"/>
      <c r="S185" s="6"/>
      <c r="T185" s="6"/>
      <c r="U185" s="6"/>
      <c r="V185" s="6"/>
      <c r="W185" s="6"/>
      <c r="X185" s="6"/>
      <c r="Y185" s="6"/>
      <c r="Z185" s="6"/>
    </row>
    <row r="186" ht="18.0" customHeight="1">
      <c r="A186" s="288" t="s">
        <v>1839</v>
      </c>
      <c r="B186" s="288" t="s">
        <v>1840</v>
      </c>
      <c r="C186" s="20"/>
      <c r="D186" s="20"/>
      <c r="E186" s="20"/>
      <c r="F186" s="6"/>
      <c r="G186" s="6"/>
      <c r="H186" s="6"/>
      <c r="I186" s="6"/>
      <c r="J186" s="6"/>
      <c r="K186" s="6"/>
      <c r="L186" s="6"/>
      <c r="M186" s="6"/>
      <c r="N186" s="6"/>
      <c r="O186" s="6"/>
      <c r="P186" s="6"/>
      <c r="Q186" s="6"/>
      <c r="R186" s="6"/>
      <c r="S186" s="6"/>
      <c r="T186" s="6"/>
      <c r="U186" s="6"/>
      <c r="V186" s="6"/>
      <c r="W186" s="6"/>
      <c r="X186" s="6"/>
      <c r="Y186" s="6"/>
      <c r="Z186" s="6"/>
    </row>
    <row r="187" ht="18.0" customHeight="1">
      <c r="A187" s="288" t="s">
        <v>1841</v>
      </c>
      <c r="B187" s="288" t="s">
        <v>1842</v>
      </c>
      <c r="C187" s="20"/>
      <c r="D187" s="20"/>
      <c r="E187" s="20"/>
      <c r="F187" s="6"/>
      <c r="G187" s="6"/>
      <c r="H187" s="6"/>
      <c r="I187" s="6"/>
      <c r="J187" s="6"/>
      <c r="K187" s="6"/>
      <c r="L187" s="6"/>
      <c r="M187" s="6"/>
      <c r="N187" s="6"/>
      <c r="O187" s="6"/>
      <c r="P187" s="6"/>
      <c r="Q187" s="6"/>
      <c r="R187" s="6"/>
      <c r="S187" s="6"/>
      <c r="T187" s="6"/>
      <c r="U187" s="6"/>
      <c r="V187" s="6"/>
      <c r="W187" s="6"/>
      <c r="X187" s="6"/>
      <c r="Y187" s="6"/>
      <c r="Z187" s="6"/>
    </row>
    <row r="188" ht="18.0" customHeight="1">
      <c r="A188" s="288" t="s">
        <v>819</v>
      </c>
      <c r="B188" s="288" t="s">
        <v>1843</v>
      </c>
      <c r="C188" s="20"/>
      <c r="D188" s="20"/>
      <c r="E188" s="20"/>
      <c r="F188" s="6"/>
      <c r="G188" s="6"/>
      <c r="H188" s="6"/>
      <c r="I188" s="6"/>
      <c r="J188" s="6"/>
      <c r="K188" s="6"/>
      <c r="L188" s="6"/>
      <c r="M188" s="6"/>
      <c r="N188" s="6"/>
      <c r="O188" s="6"/>
      <c r="P188" s="6"/>
      <c r="Q188" s="6"/>
      <c r="R188" s="6"/>
      <c r="S188" s="6"/>
      <c r="T188" s="6"/>
      <c r="U188" s="6"/>
      <c r="V188" s="6"/>
      <c r="W188" s="6"/>
      <c r="X188" s="6"/>
      <c r="Y188" s="6"/>
      <c r="Z188" s="6"/>
    </row>
    <row r="189" ht="18.0" customHeight="1">
      <c r="A189" s="288" t="s">
        <v>1844</v>
      </c>
      <c r="B189" s="288" t="s">
        <v>1845</v>
      </c>
      <c r="C189" s="20"/>
      <c r="D189" s="20"/>
      <c r="E189" s="20"/>
      <c r="F189" s="6"/>
      <c r="G189" s="6"/>
      <c r="H189" s="6"/>
      <c r="I189" s="6"/>
      <c r="J189" s="6"/>
      <c r="K189" s="6"/>
      <c r="L189" s="6"/>
      <c r="M189" s="6"/>
      <c r="N189" s="6"/>
      <c r="O189" s="6"/>
      <c r="P189" s="6"/>
      <c r="Q189" s="6"/>
      <c r="R189" s="6"/>
      <c r="S189" s="6"/>
      <c r="T189" s="6"/>
      <c r="U189" s="6"/>
      <c r="V189" s="6"/>
      <c r="W189" s="6"/>
      <c r="X189" s="6"/>
      <c r="Y189" s="6"/>
      <c r="Z189" s="6"/>
    </row>
    <row r="190" ht="18.0" customHeight="1">
      <c r="A190" s="288" t="s">
        <v>1076</v>
      </c>
      <c r="B190" s="288" t="s">
        <v>1846</v>
      </c>
      <c r="C190" s="20"/>
      <c r="D190" s="20"/>
      <c r="E190" s="20"/>
      <c r="F190" s="6"/>
      <c r="G190" s="6"/>
      <c r="H190" s="6"/>
      <c r="I190" s="6"/>
      <c r="J190" s="6"/>
      <c r="K190" s="6"/>
      <c r="L190" s="6"/>
      <c r="M190" s="6"/>
      <c r="N190" s="6"/>
      <c r="O190" s="6"/>
      <c r="P190" s="6"/>
      <c r="Q190" s="6"/>
      <c r="R190" s="6"/>
      <c r="S190" s="6"/>
      <c r="T190" s="6"/>
      <c r="U190" s="6"/>
      <c r="V190" s="6"/>
      <c r="W190" s="6"/>
      <c r="X190" s="6"/>
      <c r="Y190" s="6"/>
      <c r="Z190" s="6"/>
    </row>
    <row r="191" ht="18.0" customHeight="1">
      <c r="A191" s="288" t="s">
        <v>1052</v>
      </c>
      <c r="B191" s="288" t="s">
        <v>1847</v>
      </c>
      <c r="C191" s="20"/>
      <c r="D191" s="20"/>
      <c r="E191" s="20"/>
      <c r="F191" s="6"/>
      <c r="G191" s="6"/>
      <c r="H191" s="6"/>
      <c r="I191" s="6"/>
      <c r="J191" s="6"/>
      <c r="K191" s="6"/>
      <c r="L191" s="6"/>
      <c r="M191" s="6"/>
      <c r="N191" s="6"/>
      <c r="O191" s="6"/>
      <c r="P191" s="6"/>
      <c r="Q191" s="6"/>
      <c r="R191" s="6"/>
      <c r="S191" s="6"/>
      <c r="T191" s="6"/>
      <c r="U191" s="6"/>
      <c r="V191" s="6"/>
      <c r="W191" s="6"/>
      <c r="X191" s="6"/>
      <c r="Y191" s="6"/>
      <c r="Z191" s="6"/>
    </row>
    <row r="192" ht="18.0" customHeight="1">
      <c r="A192" s="288" t="s">
        <v>1848</v>
      </c>
      <c r="B192" s="288" t="s">
        <v>1849</v>
      </c>
      <c r="C192" s="20"/>
      <c r="D192" s="20"/>
      <c r="E192" s="20"/>
      <c r="F192" s="6"/>
      <c r="G192" s="6"/>
      <c r="H192" s="6"/>
      <c r="I192" s="6"/>
      <c r="J192" s="6"/>
      <c r="K192" s="6"/>
      <c r="L192" s="6"/>
      <c r="M192" s="6"/>
      <c r="N192" s="6"/>
      <c r="O192" s="6"/>
      <c r="P192" s="6"/>
      <c r="Q192" s="6"/>
      <c r="R192" s="6"/>
      <c r="S192" s="6"/>
      <c r="T192" s="6"/>
      <c r="U192" s="6"/>
      <c r="V192" s="6"/>
      <c r="W192" s="6"/>
      <c r="X192" s="6"/>
      <c r="Y192" s="6"/>
      <c r="Z192" s="6"/>
    </row>
    <row r="193" ht="18.0" customHeight="1">
      <c r="A193" s="288" t="s">
        <v>1850</v>
      </c>
      <c r="B193" s="288" t="s">
        <v>1851</v>
      </c>
      <c r="C193" s="20"/>
      <c r="D193" s="20"/>
      <c r="E193" s="20"/>
      <c r="F193" s="6"/>
      <c r="G193" s="6"/>
      <c r="H193" s="6"/>
      <c r="I193" s="6"/>
      <c r="J193" s="6"/>
      <c r="K193" s="6"/>
      <c r="L193" s="6"/>
      <c r="M193" s="6"/>
      <c r="N193" s="6"/>
      <c r="O193" s="6"/>
      <c r="P193" s="6"/>
      <c r="Q193" s="6"/>
      <c r="R193" s="6"/>
      <c r="S193" s="6"/>
      <c r="T193" s="6"/>
      <c r="U193" s="6"/>
      <c r="V193" s="6"/>
      <c r="W193" s="6"/>
      <c r="X193" s="6"/>
      <c r="Y193" s="6"/>
      <c r="Z193" s="6"/>
    </row>
    <row r="194" ht="18.0" customHeight="1">
      <c r="A194" s="288" t="s">
        <v>903</v>
      </c>
      <c r="B194" s="288" t="s">
        <v>1852</v>
      </c>
      <c r="C194" s="20"/>
      <c r="D194" s="20"/>
      <c r="E194" s="20"/>
      <c r="F194" s="6"/>
      <c r="G194" s="6"/>
      <c r="H194" s="6"/>
      <c r="I194" s="6"/>
      <c r="J194" s="6"/>
      <c r="K194" s="6"/>
      <c r="L194" s="6"/>
      <c r="M194" s="6"/>
      <c r="N194" s="6"/>
      <c r="O194" s="6"/>
      <c r="P194" s="6"/>
      <c r="Q194" s="6"/>
      <c r="R194" s="6"/>
      <c r="S194" s="6"/>
      <c r="T194" s="6"/>
      <c r="U194" s="6"/>
      <c r="V194" s="6"/>
      <c r="W194" s="6"/>
      <c r="X194" s="6"/>
      <c r="Y194" s="6"/>
      <c r="Z194" s="6"/>
    </row>
    <row r="195" ht="18.0" customHeight="1">
      <c r="A195" s="288" t="s">
        <v>1853</v>
      </c>
      <c r="B195" s="288" t="s">
        <v>1854</v>
      </c>
      <c r="C195" s="20"/>
      <c r="D195" s="20"/>
      <c r="E195" s="20"/>
      <c r="F195" s="6"/>
      <c r="G195" s="6"/>
      <c r="H195" s="6"/>
      <c r="I195" s="6"/>
      <c r="J195" s="6"/>
      <c r="K195" s="6"/>
      <c r="L195" s="6"/>
      <c r="M195" s="6"/>
      <c r="N195" s="6"/>
      <c r="O195" s="6"/>
      <c r="P195" s="6"/>
      <c r="Q195" s="6"/>
      <c r="R195" s="6"/>
      <c r="S195" s="6"/>
      <c r="T195" s="6"/>
      <c r="U195" s="6"/>
      <c r="V195" s="6"/>
      <c r="W195" s="6"/>
      <c r="X195" s="6"/>
      <c r="Y195" s="6"/>
      <c r="Z195" s="6"/>
    </row>
    <row r="196" ht="18.0" customHeight="1">
      <c r="A196" s="288" t="s">
        <v>861</v>
      </c>
      <c r="B196" s="288" t="s">
        <v>1855</v>
      </c>
      <c r="C196" s="20"/>
      <c r="D196" s="20"/>
      <c r="E196" s="20"/>
      <c r="F196" s="6"/>
      <c r="G196" s="6"/>
      <c r="H196" s="6"/>
      <c r="I196" s="6"/>
      <c r="J196" s="6"/>
      <c r="K196" s="6"/>
      <c r="L196" s="6"/>
      <c r="M196" s="6"/>
      <c r="N196" s="6"/>
      <c r="O196" s="6"/>
      <c r="P196" s="6"/>
      <c r="Q196" s="6"/>
      <c r="R196" s="6"/>
      <c r="S196" s="6"/>
      <c r="T196" s="6"/>
      <c r="U196" s="6"/>
      <c r="V196" s="6"/>
      <c r="W196" s="6"/>
      <c r="X196" s="6"/>
      <c r="Y196" s="6"/>
      <c r="Z196" s="6"/>
    </row>
    <row r="197" ht="18.0" customHeight="1">
      <c r="A197" s="288" t="s">
        <v>1095</v>
      </c>
      <c r="B197" s="288" t="s">
        <v>1856</v>
      </c>
      <c r="C197" s="20"/>
      <c r="D197" s="20"/>
      <c r="E197" s="20"/>
      <c r="F197" s="6"/>
      <c r="G197" s="6"/>
      <c r="H197" s="6"/>
      <c r="I197" s="6"/>
      <c r="J197" s="6"/>
      <c r="K197" s="6"/>
      <c r="L197" s="6"/>
      <c r="M197" s="6"/>
      <c r="N197" s="6"/>
      <c r="O197" s="6"/>
      <c r="P197" s="6"/>
      <c r="Q197" s="6"/>
      <c r="R197" s="6"/>
      <c r="S197" s="6"/>
      <c r="T197" s="6"/>
      <c r="U197" s="6"/>
      <c r="V197" s="6"/>
      <c r="W197" s="6"/>
      <c r="X197" s="6"/>
      <c r="Y197" s="6"/>
      <c r="Z197" s="6"/>
    </row>
    <row r="198" ht="18.0" customHeight="1">
      <c r="A198" s="288" t="s">
        <v>1857</v>
      </c>
      <c r="B198" s="288" t="s">
        <v>1858</v>
      </c>
      <c r="C198" s="20"/>
      <c r="D198" s="20"/>
      <c r="E198" s="20"/>
      <c r="F198" s="6"/>
      <c r="G198" s="6"/>
      <c r="H198" s="6"/>
      <c r="I198" s="6"/>
      <c r="J198" s="6"/>
      <c r="K198" s="6"/>
      <c r="L198" s="6"/>
      <c r="M198" s="6"/>
      <c r="N198" s="6"/>
      <c r="O198" s="6"/>
      <c r="P198" s="6"/>
      <c r="Q198" s="6"/>
      <c r="R198" s="6"/>
      <c r="S198" s="6"/>
      <c r="T198" s="6"/>
      <c r="U198" s="6"/>
      <c r="V198" s="6"/>
      <c r="W198" s="6"/>
      <c r="X198" s="6"/>
      <c r="Y198" s="6"/>
      <c r="Z198" s="6"/>
    </row>
    <row r="199" ht="18.0" customHeight="1">
      <c r="A199" s="288" t="s">
        <v>1859</v>
      </c>
      <c r="B199" s="288" t="s">
        <v>1860</v>
      </c>
      <c r="C199" s="20"/>
      <c r="D199" s="20"/>
      <c r="E199" s="20"/>
      <c r="F199" s="6"/>
      <c r="G199" s="6"/>
      <c r="H199" s="6"/>
      <c r="I199" s="6"/>
      <c r="J199" s="6"/>
      <c r="K199" s="6"/>
      <c r="L199" s="6"/>
      <c r="M199" s="6"/>
      <c r="N199" s="6"/>
      <c r="O199" s="6"/>
      <c r="P199" s="6"/>
      <c r="Q199" s="6"/>
      <c r="R199" s="6"/>
      <c r="S199" s="6"/>
      <c r="T199" s="6"/>
      <c r="U199" s="6"/>
      <c r="V199" s="6"/>
      <c r="W199" s="6"/>
      <c r="X199" s="6"/>
      <c r="Y199" s="6"/>
      <c r="Z199" s="6"/>
    </row>
    <row r="200" ht="18.0" customHeight="1">
      <c r="A200" s="288" t="s">
        <v>1861</v>
      </c>
      <c r="B200" s="288" t="s">
        <v>1862</v>
      </c>
      <c r="C200" s="20"/>
      <c r="D200" s="20"/>
      <c r="E200" s="20"/>
      <c r="F200" s="6"/>
      <c r="G200" s="6"/>
      <c r="H200" s="6"/>
      <c r="I200" s="6"/>
      <c r="J200" s="6"/>
      <c r="K200" s="6"/>
      <c r="L200" s="6"/>
      <c r="M200" s="6"/>
      <c r="N200" s="6"/>
      <c r="O200" s="6"/>
      <c r="P200" s="6"/>
      <c r="Q200" s="6"/>
      <c r="R200" s="6"/>
      <c r="S200" s="6"/>
      <c r="T200" s="6"/>
      <c r="U200" s="6"/>
      <c r="V200" s="6"/>
      <c r="W200" s="6"/>
      <c r="X200" s="6"/>
      <c r="Y200" s="6"/>
      <c r="Z200" s="6"/>
    </row>
    <row r="201" ht="18.0" customHeight="1">
      <c r="A201" s="288" t="s">
        <v>1863</v>
      </c>
      <c r="B201" s="288" t="s">
        <v>1864</v>
      </c>
      <c r="C201" s="20"/>
      <c r="D201" s="20"/>
      <c r="E201" s="20"/>
      <c r="F201" s="6"/>
      <c r="G201" s="6"/>
      <c r="H201" s="6"/>
      <c r="I201" s="6"/>
      <c r="J201" s="6"/>
      <c r="K201" s="6"/>
      <c r="L201" s="6"/>
      <c r="M201" s="6"/>
      <c r="N201" s="6"/>
      <c r="O201" s="6"/>
      <c r="P201" s="6"/>
      <c r="Q201" s="6"/>
      <c r="R201" s="6"/>
      <c r="S201" s="6"/>
      <c r="T201" s="6"/>
      <c r="U201" s="6"/>
      <c r="V201" s="6"/>
      <c r="W201" s="6"/>
      <c r="X201" s="6"/>
      <c r="Y201" s="6"/>
      <c r="Z201" s="6"/>
    </row>
    <row r="202" ht="18.0" customHeight="1">
      <c r="A202" s="288" t="s">
        <v>1865</v>
      </c>
      <c r="B202" s="288" t="s">
        <v>1866</v>
      </c>
      <c r="C202" s="20"/>
      <c r="D202" s="20"/>
      <c r="E202" s="20"/>
      <c r="F202" s="6"/>
      <c r="G202" s="6"/>
      <c r="H202" s="6"/>
      <c r="I202" s="6"/>
      <c r="J202" s="6"/>
      <c r="K202" s="6"/>
      <c r="L202" s="6"/>
      <c r="M202" s="6"/>
      <c r="N202" s="6"/>
      <c r="O202" s="6"/>
      <c r="P202" s="6"/>
      <c r="Q202" s="6"/>
      <c r="R202" s="6"/>
      <c r="S202" s="6"/>
      <c r="T202" s="6"/>
      <c r="U202" s="6"/>
      <c r="V202" s="6"/>
      <c r="W202" s="6"/>
      <c r="X202" s="6"/>
      <c r="Y202" s="6"/>
      <c r="Z202" s="6"/>
    </row>
    <row r="203" ht="18.0" customHeight="1">
      <c r="A203" s="288" t="s">
        <v>1010</v>
      </c>
      <c r="B203" s="288" t="s">
        <v>1867</v>
      </c>
      <c r="C203" s="20"/>
      <c r="D203" s="20"/>
      <c r="E203" s="20"/>
      <c r="F203" s="6"/>
      <c r="G203" s="6"/>
      <c r="H203" s="6"/>
      <c r="I203" s="6"/>
      <c r="J203" s="6"/>
      <c r="K203" s="6"/>
      <c r="L203" s="6"/>
      <c r="M203" s="6"/>
      <c r="N203" s="6"/>
      <c r="O203" s="6"/>
      <c r="P203" s="6"/>
      <c r="Q203" s="6"/>
      <c r="R203" s="6"/>
      <c r="S203" s="6"/>
      <c r="T203" s="6"/>
      <c r="U203" s="6"/>
      <c r="V203" s="6"/>
      <c r="W203" s="6"/>
      <c r="X203" s="6"/>
      <c r="Y203" s="6"/>
      <c r="Z203" s="6"/>
    </row>
    <row r="204" ht="18.0" customHeight="1">
      <c r="A204" s="288" t="s">
        <v>1040</v>
      </c>
      <c r="B204" s="288" t="s">
        <v>1868</v>
      </c>
      <c r="C204" s="20"/>
      <c r="D204" s="20"/>
      <c r="E204" s="20"/>
      <c r="F204" s="6"/>
      <c r="G204" s="6"/>
      <c r="H204" s="6"/>
      <c r="I204" s="6"/>
      <c r="J204" s="6"/>
      <c r="K204" s="6"/>
      <c r="L204" s="6"/>
      <c r="M204" s="6"/>
      <c r="N204" s="6"/>
      <c r="O204" s="6"/>
      <c r="P204" s="6"/>
      <c r="Q204" s="6"/>
      <c r="R204" s="6"/>
      <c r="S204" s="6"/>
      <c r="T204" s="6"/>
      <c r="U204" s="6"/>
      <c r="V204" s="6"/>
      <c r="W204" s="6"/>
      <c r="X204" s="6"/>
      <c r="Y204" s="6"/>
      <c r="Z204" s="6"/>
    </row>
    <row r="205" ht="18.0" customHeight="1">
      <c r="A205" s="288" t="s">
        <v>1869</v>
      </c>
      <c r="B205" s="288" t="s">
        <v>1870</v>
      </c>
      <c r="C205" s="20"/>
      <c r="D205" s="20"/>
      <c r="E205" s="20"/>
      <c r="F205" s="6"/>
      <c r="G205" s="6"/>
      <c r="H205" s="6"/>
      <c r="I205" s="6"/>
      <c r="J205" s="6"/>
      <c r="K205" s="6"/>
      <c r="L205" s="6"/>
      <c r="M205" s="6"/>
      <c r="N205" s="6"/>
      <c r="O205" s="6"/>
      <c r="P205" s="6"/>
      <c r="Q205" s="6"/>
      <c r="R205" s="6"/>
      <c r="S205" s="6"/>
      <c r="T205" s="6"/>
      <c r="U205" s="6"/>
      <c r="V205" s="6"/>
      <c r="W205" s="6"/>
      <c r="X205" s="6"/>
      <c r="Y205" s="6"/>
      <c r="Z205" s="6"/>
    </row>
    <row r="206" ht="18.0" customHeight="1">
      <c r="A206" s="288" t="s">
        <v>1871</v>
      </c>
      <c r="B206" s="288" t="s">
        <v>1872</v>
      </c>
      <c r="C206" s="20"/>
      <c r="D206" s="20"/>
      <c r="E206" s="20"/>
      <c r="F206" s="6"/>
      <c r="G206" s="6"/>
      <c r="H206" s="6"/>
      <c r="I206" s="6"/>
      <c r="J206" s="6"/>
      <c r="K206" s="6"/>
      <c r="L206" s="6"/>
      <c r="M206" s="6"/>
      <c r="N206" s="6"/>
      <c r="O206" s="6"/>
      <c r="P206" s="6"/>
      <c r="Q206" s="6"/>
      <c r="R206" s="6"/>
      <c r="S206" s="6"/>
      <c r="T206" s="6"/>
      <c r="U206" s="6"/>
      <c r="V206" s="6"/>
      <c r="W206" s="6"/>
      <c r="X206" s="6"/>
      <c r="Y206" s="6"/>
      <c r="Z206" s="6"/>
    </row>
    <row r="207" ht="18.0" customHeight="1">
      <c r="A207" s="288" t="s">
        <v>1873</v>
      </c>
      <c r="B207" s="288" t="s">
        <v>1874</v>
      </c>
      <c r="C207" s="20"/>
      <c r="D207" s="20"/>
      <c r="E207" s="20"/>
      <c r="F207" s="6"/>
      <c r="G207" s="6"/>
      <c r="H207" s="6"/>
      <c r="I207" s="6"/>
      <c r="J207" s="6"/>
      <c r="K207" s="6"/>
      <c r="L207" s="6"/>
      <c r="M207" s="6"/>
      <c r="N207" s="6"/>
      <c r="O207" s="6"/>
      <c r="P207" s="6"/>
      <c r="Q207" s="6"/>
      <c r="R207" s="6"/>
      <c r="S207" s="6"/>
      <c r="T207" s="6"/>
      <c r="U207" s="6"/>
      <c r="V207" s="6"/>
      <c r="W207" s="6"/>
      <c r="X207" s="6"/>
      <c r="Y207" s="6"/>
      <c r="Z207" s="6"/>
    </row>
    <row r="208" ht="18.0" customHeight="1">
      <c r="A208" s="288" t="s">
        <v>1875</v>
      </c>
      <c r="B208" s="288" t="s">
        <v>1876</v>
      </c>
      <c r="C208" s="20"/>
      <c r="D208" s="20"/>
      <c r="E208" s="20"/>
      <c r="F208" s="6"/>
      <c r="G208" s="6"/>
      <c r="H208" s="6"/>
      <c r="I208" s="6"/>
      <c r="J208" s="6"/>
      <c r="K208" s="6"/>
      <c r="L208" s="6"/>
      <c r="M208" s="6"/>
      <c r="N208" s="6"/>
      <c r="O208" s="6"/>
      <c r="P208" s="6"/>
      <c r="Q208" s="6"/>
      <c r="R208" s="6"/>
      <c r="S208" s="6"/>
      <c r="T208" s="6"/>
      <c r="U208" s="6"/>
      <c r="V208" s="6"/>
      <c r="W208" s="6"/>
      <c r="X208" s="6"/>
      <c r="Y208" s="6"/>
      <c r="Z208" s="6"/>
    </row>
    <row r="209" ht="18.0" customHeight="1">
      <c r="A209" s="288" t="s">
        <v>1021</v>
      </c>
      <c r="B209" s="288" t="s">
        <v>1877</v>
      </c>
      <c r="C209" s="20"/>
      <c r="D209" s="20"/>
      <c r="E209" s="20"/>
      <c r="F209" s="6"/>
      <c r="G209" s="6"/>
      <c r="H209" s="6"/>
      <c r="I209" s="6"/>
      <c r="J209" s="6"/>
      <c r="K209" s="6"/>
      <c r="L209" s="6"/>
      <c r="M209" s="6"/>
      <c r="N209" s="6"/>
      <c r="O209" s="6"/>
      <c r="P209" s="6"/>
      <c r="Q209" s="6"/>
      <c r="R209" s="6"/>
      <c r="S209" s="6"/>
      <c r="T209" s="6"/>
      <c r="U209" s="6"/>
      <c r="V209" s="6"/>
      <c r="W209" s="6"/>
      <c r="X209" s="6"/>
      <c r="Y209" s="6"/>
      <c r="Z209" s="6"/>
    </row>
    <row r="210" ht="18.0" customHeight="1">
      <c r="A210" s="288" t="s">
        <v>1104</v>
      </c>
      <c r="B210" s="288" t="s">
        <v>1878</v>
      </c>
      <c r="C210" s="20"/>
      <c r="D210" s="20"/>
      <c r="E210" s="20"/>
      <c r="F210" s="6"/>
      <c r="G210" s="6"/>
      <c r="H210" s="6"/>
      <c r="I210" s="6"/>
      <c r="J210" s="6"/>
      <c r="K210" s="6"/>
      <c r="L210" s="6"/>
      <c r="M210" s="6"/>
      <c r="N210" s="6"/>
      <c r="O210" s="6"/>
      <c r="P210" s="6"/>
      <c r="Q210" s="6"/>
      <c r="R210" s="6"/>
      <c r="S210" s="6"/>
      <c r="T210" s="6"/>
      <c r="U210" s="6"/>
      <c r="V210" s="6"/>
      <c r="W210" s="6"/>
      <c r="X210" s="6"/>
      <c r="Y210" s="6"/>
      <c r="Z210" s="6"/>
    </row>
    <row r="211" ht="18.0" customHeight="1">
      <c r="A211" s="288" t="s">
        <v>1879</v>
      </c>
      <c r="B211" s="288" t="s">
        <v>1880</v>
      </c>
      <c r="C211" s="20"/>
      <c r="D211" s="20"/>
      <c r="E211" s="20"/>
      <c r="F211" s="6"/>
      <c r="G211" s="6"/>
      <c r="H211" s="6"/>
      <c r="I211" s="6"/>
      <c r="J211" s="6"/>
      <c r="K211" s="6"/>
      <c r="L211" s="6"/>
      <c r="M211" s="6"/>
      <c r="N211" s="6"/>
      <c r="O211" s="6"/>
      <c r="P211" s="6"/>
      <c r="Q211" s="6"/>
      <c r="R211" s="6"/>
      <c r="S211" s="6"/>
      <c r="T211" s="6"/>
      <c r="U211" s="6"/>
      <c r="V211" s="6"/>
      <c r="W211" s="6"/>
      <c r="X211" s="6"/>
      <c r="Y211" s="6"/>
      <c r="Z211" s="6"/>
    </row>
    <row r="212" ht="18.0" customHeight="1">
      <c r="A212" s="288" t="s">
        <v>1881</v>
      </c>
      <c r="B212" s="288" t="s">
        <v>1882</v>
      </c>
      <c r="C212" s="20"/>
      <c r="D212" s="20"/>
      <c r="E212" s="20"/>
      <c r="F212" s="6"/>
      <c r="G212" s="6"/>
      <c r="H212" s="6"/>
      <c r="I212" s="6"/>
      <c r="J212" s="6"/>
      <c r="K212" s="6"/>
      <c r="L212" s="6"/>
      <c r="M212" s="6"/>
      <c r="N212" s="6"/>
      <c r="O212" s="6"/>
      <c r="P212" s="6"/>
      <c r="Q212" s="6"/>
      <c r="R212" s="6"/>
      <c r="S212" s="6"/>
      <c r="T212" s="6"/>
      <c r="U212" s="6"/>
      <c r="V212" s="6"/>
      <c r="W212" s="6"/>
      <c r="X212" s="6"/>
      <c r="Y212" s="6"/>
      <c r="Z212" s="6"/>
    </row>
    <row r="213" ht="18.0" customHeight="1">
      <c r="A213" s="288" t="s">
        <v>1883</v>
      </c>
      <c r="B213" s="288" t="s">
        <v>1884</v>
      </c>
      <c r="C213" s="20"/>
      <c r="D213" s="20"/>
      <c r="E213" s="20"/>
      <c r="F213" s="6"/>
      <c r="G213" s="6"/>
      <c r="H213" s="6"/>
      <c r="I213" s="6"/>
      <c r="J213" s="6"/>
      <c r="K213" s="6"/>
      <c r="L213" s="6"/>
      <c r="M213" s="6"/>
      <c r="N213" s="6"/>
      <c r="O213" s="6"/>
      <c r="P213" s="6"/>
      <c r="Q213" s="6"/>
      <c r="R213" s="6"/>
      <c r="S213" s="6"/>
      <c r="T213" s="6"/>
      <c r="U213" s="6"/>
      <c r="V213" s="6"/>
      <c r="W213" s="6"/>
      <c r="X213" s="6"/>
      <c r="Y213" s="6"/>
      <c r="Z213" s="6"/>
    </row>
    <row r="214" ht="18.0" customHeight="1">
      <c r="A214" s="288" t="s">
        <v>1885</v>
      </c>
      <c r="B214" s="288" t="s">
        <v>1886</v>
      </c>
      <c r="C214" s="20"/>
      <c r="D214" s="20"/>
      <c r="E214" s="20"/>
      <c r="F214" s="6"/>
      <c r="G214" s="6"/>
      <c r="H214" s="6"/>
      <c r="I214" s="6"/>
      <c r="J214" s="6"/>
      <c r="K214" s="6"/>
      <c r="L214" s="6"/>
      <c r="M214" s="6"/>
      <c r="N214" s="6"/>
      <c r="O214" s="6"/>
      <c r="P214" s="6"/>
      <c r="Q214" s="6"/>
      <c r="R214" s="6"/>
      <c r="S214" s="6"/>
      <c r="T214" s="6"/>
      <c r="U214" s="6"/>
      <c r="V214" s="6"/>
      <c r="W214" s="6"/>
      <c r="X214" s="6"/>
      <c r="Y214" s="6"/>
      <c r="Z214" s="6"/>
    </row>
    <row r="215" ht="18.0" customHeight="1">
      <c r="A215" s="288" t="s">
        <v>1887</v>
      </c>
      <c r="B215" s="288" t="s">
        <v>1888</v>
      </c>
      <c r="C215" s="20"/>
      <c r="D215" s="20"/>
      <c r="E215" s="20"/>
      <c r="F215" s="6"/>
      <c r="G215" s="6"/>
      <c r="H215" s="6"/>
      <c r="I215" s="6"/>
      <c r="J215" s="6"/>
      <c r="K215" s="6"/>
      <c r="L215" s="6"/>
      <c r="M215" s="6"/>
      <c r="N215" s="6"/>
      <c r="O215" s="6"/>
      <c r="P215" s="6"/>
      <c r="Q215" s="6"/>
      <c r="R215" s="6"/>
      <c r="S215" s="6"/>
      <c r="T215" s="6"/>
      <c r="U215" s="6"/>
      <c r="V215" s="6"/>
      <c r="W215" s="6"/>
      <c r="X215" s="6"/>
      <c r="Y215" s="6"/>
      <c r="Z215" s="6"/>
    </row>
    <row r="216" ht="18.0" customHeight="1">
      <c r="A216" s="288" t="s">
        <v>1889</v>
      </c>
      <c r="B216" s="288" t="s">
        <v>1890</v>
      </c>
      <c r="C216" s="20"/>
      <c r="D216" s="20"/>
      <c r="E216" s="20"/>
      <c r="F216" s="6"/>
      <c r="G216" s="6"/>
      <c r="H216" s="6"/>
      <c r="I216" s="6"/>
      <c r="J216" s="6"/>
      <c r="K216" s="6"/>
      <c r="L216" s="6"/>
      <c r="M216" s="6"/>
      <c r="N216" s="6"/>
      <c r="O216" s="6"/>
      <c r="P216" s="6"/>
      <c r="Q216" s="6"/>
      <c r="R216" s="6"/>
      <c r="S216" s="6"/>
      <c r="T216" s="6"/>
      <c r="U216" s="6"/>
      <c r="V216" s="6"/>
      <c r="W216" s="6"/>
      <c r="X216" s="6"/>
      <c r="Y216" s="6"/>
      <c r="Z216" s="6"/>
    </row>
    <row r="217" ht="18.0" customHeight="1">
      <c r="A217" s="288" t="s">
        <v>1891</v>
      </c>
      <c r="B217" s="288" t="s">
        <v>1892</v>
      </c>
      <c r="C217" s="20"/>
      <c r="D217" s="20"/>
      <c r="E217" s="20"/>
      <c r="F217" s="6"/>
      <c r="G217" s="6"/>
      <c r="H217" s="6"/>
      <c r="I217" s="6"/>
      <c r="J217" s="6"/>
      <c r="K217" s="6"/>
      <c r="L217" s="6"/>
      <c r="M217" s="6"/>
      <c r="N217" s="6"/>
      <c r="O217" s="6"/>
      <c r="P217" s="6"/>
      <c r="Q217" s="6"/>
      <c r="R217" s="6"/>
      <c r="S217" s="6"/>
      <c r="T217" s="6"/>
      <c r="U217" s="6"/>
      <c r="V217" s="6"/>
      <c r="W217" s="6"/>
      <c r="X217" s="6"/>
      <c r="Y217" s="6"/>
      <c r="Z217" s="6"/>
    </row>
    <row r="218" ht="18.0" customHeight="1">
      <c r="A218" s="288" t="s">
        <v>1893</v>
      </c>
      <c r="B218" s="288" t="s">
        <v>1894</v>
      </c>
      <c r="C218" s="20"/>
      <c r="D218" s="20"/>
      <c r="E218" s="20"/>
      <c r="F218" s="6"/>
      <c r="G218" s="6"/>
      <c r="H218" s="6"/>
      <c r="I218" s="6"/>
      <c r="J218" s="6"/>
      <c r="K218" s="6"/>
      <c r="L218" s="6"/>
      <c r="M218" s="6"/>
      <c r="N218" s="6"/>
      <c r="O218" s="6"/>
      <c r="P218" s="6"/>
      <c r="Q218" s="6"/>
      <c r="R218" s="6"/>
      <c r="S218" s="6"/>
      <c r="T218" s="6"/>
      <c r="U218" s="6"/>
      <c r="V218" s="6"/>
      <c r="W218" s="6"/>
      <c r="X218" s="6"/>
      <c r="Y218" s="6"/>
      <c r="Z218" s="6"/>
    </row>
    <row r="219" ht="18.0" customHeight="1">
      <c r="A219" s="288" t="s">
        <v>1895</v>
      </c>
      <c r="B219" s="288" t="s">
        <v>1896</v>
      </c>
      <c r="C219" s="20"/>
      <c r="D219" s="20"/>
      <c r="E219" s="20"/>
      <c r="F219" s="6"/>
      <c r="G219" s="6"/>
      <c r="H219" s="6"/>
      <c r="I219" s="6"/>
      <c r="J219" s="6"/>
      <c r="K219" s="6"/>
      <c r="L219" s="6"/>
      <c r="M219" s="6"/>
      <c r="N219" s="6"/>
      <c r="O219" s="6"/>
      <c r="P219" s="6"/>
      <c r="Q219" s="6"/>
      <c r="R219" s="6"/>
      <c r="S219" s="6"/>
      <c r="T219" s="6"/>
      <c r="U219" s="6"/>
      <c r="V219" s="6"/>
      <c r="W219" s="6"/>
      <c r="X219" s="6"/>
      <c r="Y219" s="6"/>
      <c r="Z219" s="6"/>
    </row>
    <row r="220" ht="18.0" customHeight="1">
      <c r="A220" s="288" t="s">
        <v>1897</v>
      </c>
      <c r="B220" s="288" t="s">
        <v>1898</v>
      </c>
      <c r="C220" s="20"/>
      <c r="D220" s="20"/>
      <c r="E220" s="20"/>
      <c r="F220" s="6"/>
      <c r="G220" s="6"/>
      <c r="H220" s="6"/>
      <c r="I220" s="6"/>
      <c r="J220" s="6"/>
      <c r="K220" s="6"/>
      <c r="L220" s="6"/>
      <c r="M220" s="6"/>
      <c r="N220" s="6"/>
      <c r="O220" s="6"/>
      <c r="P220" s="6"/>
      <c r="Q220" s="6"/>
      <c r="R220" s="6"/>
      <c r="S220" s="6"/>
      <c r="T220" s="6"/>
      <c r="U220" s="6"/>
      <c r="V220" s="6"/>
      <c r="W220" s="6"/>
      <c r="X220" s="6"/>
      <c r="Y220" s="6"/>
      <c r="Z220" s="6"/>
    </row>
    <row r="221" ht="18.0" customHeight="1">
      <c r="A221" s="288" t="s">
        <v>1899</v>
      </c>
      <c r="B221" s="288" t="s">
        <v>1900</v>
      </c>
      <c r="C221" s="20"/>
      <c r="D221" s="20"/>
      <c r="E221" s="20"/>
      <c r="F221" s="6"/>
      <c r="G221" s="6"/>
      <c r="H221" s="6"/>
      <c r="I221" s="6"/>
      <c r="J221" s="6"/>
      <c r="K221" s="6"/>
      <c r="L221" s="6"/>
      <c r="M221" s="6"/>
      <c r="N221" s="6"/>
      <c r="O221" s="6"/>
      <c r="P221" s="6"/>
      <c r="Q221" s="6"/>
      <c r="R221" s="6"/>
      <c r="S221" s="6"/>
      <c r="T221" s="6"/>
      <c r="U221" s="6"/>
      <c r="V221" s="6"/>
      <c r="W221" s="6"/>
      <c r="X221" s="6"/>
      <c r="Y221" s="6"/>
      <c r="Z221" s="6"/>
    </row>
    <row r="222" ht="18.0" customHeight="1">
      <c r="A222" s="288" t="s">
        <v>1901</v>
      </c>
      <c r="B222" s="288" t="s">
        <v>1902</v>
      </c>
      <c r="C222" s="20"/>
      <c r="D222" s="20"/>
      <c r="E222" s="20"/>
      <c r="F222" s="6"/>
      <c r="G222" s="6"/>
      <c r="H222" s="6"/>
      <c r="I222" s="6"/>
      <c r="J222" s="6"/>
      <c r="K222" s="6"/>
      <c r="L222" s="6"/>
      <c r="M222" s="6"/>
      <c r="N222" s="6"/>
      <c r="O222" s="6"/>
      <c r="P222" s="6"/>
      <c r="Q222" s="6"/>
      <c r="R222" s="6"/>
      <c r="S222" s="6"/>
      <c r="T222" s="6"/>
      <c r="U222" s="6"/>
      <c r="V222" s="6"/>
      <c r="W222" s="6"/>
      <c r="X222" s="6"/>
      <c r="Y222" s="6"/>
      <c r="Z222" s="6"/>
    </row>
    <row r="223" ht="18.0" customHeight="1">
      <c r="A223" s="288" t="s">
        <v>1903</v>
      </c>
      <c r="B223" s="288" t="s">
        <v>1904</v>
      </c>
      <c r="C223" s="20"/>
      <c r="D223" s="20"/>
      <c r="E223" s="20"/>
      <c r="F223" s="6"/>
      <c r="G223" s="6"/>
      <c r="H223" s="6"/>
      <c r="I223" s="6"/>
      <c r="J223" s="6"/>
      <c r="K223" s="6"/>
      <c r="L223" s="6"/>
      <c r="M223" s="6"/>
      <c r="N223" s="6"/>
      <c r="O223" s="6"/>
      <c r="P223" s="6"/>
      <c r="Q223" s="6"/>
      <c r="R223" s="6"/>
      <c r="S223" s="6"/>
      <c r="T223" s="6"/>
      <c r="U223" s="6"/>
      <c r="V223" s="6"/>
      <c r="W223" s="6"/>
      <c r="X223" s="6"/>
      <c r="Y223" s="6"/>
      <c r="Z223" s="6"/>
    </row>
    <row r="224" ht="18.0" customHeight="1">
      <c r="A224" s="288" t="s">
        <v>1905</v>
      </c>
      <c r="B224" s="288" t="s">
        <v>1906</v>
      </c>
      <c r="C224" s="20"/>
      <c r="D224" s="20"/>
      <c r="E224" s="20"/>
      <c r="F224" s="6"/>
      <c r="G224" s="6"/>
      <c r="H224" s="6"/>
      <c r="I224" s="6"/>
      <c r="J224" s="6"/>
      <c r="K224" s="6"/>
      <c r="L224" s="6"/>
      <c r="M224" s="6"/>
      <c r="N224" s="6"/>
      <c r="O224" s="6"/>
      <c r="P224" s="6"/>
      <c r="Q224" s="6"/>
      <c r="R224" s="6"/>
      <c r="S224" s="6"/>
      <c r="T224" s="6"/>
      <c r="U224" s="6"/>
      <c r="V224" s="6"/>
      <c r="W224" s="6"/>
      <c r="X224" s="6"/>
      <c r="Y224" s="6"/>
      <c r="Z224" s="6"/>
    </row>
    <row r="225" ht="18.0" customHeight="1">
      <c r="A225" s="288" t="s">
        <v>1907</v>
      </c>
      <c r="B225" s="288" t="s">
        <v>1908</v>
      </c>
      <c r="C225" s="20"/>
      <c r="D225" s="20"/>
      <c r="E225" s="20"/>
      <c r="F225" s="6"/>
      <c r="G225" s="6"/>
      <c r="H225" s="6"/>
      <c r="I225" s="6"/>
      <c r="J225" s="6"/>
      <c r="K225" s="6"/>
      <c r="L225" s="6"/>
      <c r="M225" s="6"/>
      <c r="N225" s="6"/>
      <c r="O225" s="6"/>
      <c r="P225" s="6"/>
      <c r="Q225" s="6"/>
      <c r="R225" s="6"/>
      <c r="S225" s="6"/>
      <c r="T225" s="6"/>
      <c r="U225" s="6"/>
      <c r="V225" s="6"/>
      <c r="W225" s="6"/>
      <c r="X225" s="6"/>
      <c r="Y225" s="6"/>
      <c r="Z225" s="6"/>
    </row>
    <row r="226" ht="18.0" customHeight="1">
      <c r="A226" s="288" t="s">
        <v>1909</v>
      </c>
      <c r="B226" s="288" t="s">
        <v>1910</v>
      </c>
      <c r="C226" s="20"/>
      <c r="D226" s="20"/>
      <c r="E226" s="20"/>
      <c r="F226" s="6"/>
      <c r="G226" s="6"/>
      <c r="H226" s="6"/>
      <c r="I226" s="6"/>
      <c r="J226" s="6"/>
      <c r="K226" s="6"/>
      <c r="L226" s="6"/>
      <c r="M226" s="6"/>
      <c r="N226" s="6"/>
      <c r="O226" s="6"/>
      <c r="P226" s="6"/>
      <c r="Q226" s="6"/>
      <c r="R226" s="6"/>
      <c r="S226" s="6"/>
      <c r="T226" s="6"/>
      <c r="U226" s="6"/>
      <c r="V226" s="6"/>
      <c r="W226" s="6"/>
      <c r="X226" s="6"/>
      <c r="Y226" s="6"/>
      <c r="Z226" s="6"/>
    </row>
    <row r="227" ht="18.0" customHeight="1">
      <c r="A227" s="288" t="s">
        <v>1911</v>
      </c>
      <c r="B227" s="288" t="s">
        <v>1912</v>
      </c>
      <c r="C227" s="20"/>
      <c r="D227" s="20"/>
      <c r="E227" s="20"/>
      <c r="F227" s="6"/>
      <c r="G227" s="6"/>
      <c r="H227" s="6"/>
      <c r="I227" s="6"/>
      <c r="J227" s="6"/>
      <c r="K227" s="6"/>
      <c r="L227" s="6"/>
      <c r="M227" s="6"/>
      <c r="N227" s="6"/>
      <c r="O227" s="6"/>
      <c r="P227" s="6"/>
      <c r="Q227" s="6"/>
      <c r="R227" s="6"/>
      <c r="S227" s="6"/>
      <c r="T227" s="6"/>
      <c r="U227" s="6"/>
      <c r="V227" s="6"/>
      <c r="W227" s="6"/>
      <c r="X227" s="6"/>
      <c r="Y227" s="6"/>
      <c r="Z227" s="6"/>
    </row>
    <row r="228" ht="18.0" customHeight="1">
      <c r="A228" s="288" t="s">
        <v>1913</v>
      </c>
      <c r="B228" s="288" t="s">
        <v>1914</v>
      </c>
      <c r="C228" s="20"/>
      <c r="D228" s="20"/>
      <c r="E228" s="20"/>
      <c r="F228" s="6"/>
      <c r="G228" s="6"/>
      <c r="H228" s="6"/>
      <c r="I228" s="6"/>
      <c r="J228" s="6"/>
      <c r="K228" s="6"/>
      <c r="L228" s="6"/>
      <c r="M228" s="6"/>
      <c r="N228" s="6"/>
      <c r="O228" s="6"/>
      <c r="P228" s="6"/>
      <c r="Q228" s="6"/>
      <c r="R228" s="6"/>
      <c r="S228" s="6"/>
      <c r="T228" s="6"/>
      <c r="U228" s="6"/>
      <c r="V228" s="6"/>
      <c r="W228" s="6"/>
      <c r="X228" s="6"/>
      <c r="Y228" s="6"/>
      <c r="Z228" s="6"/>
    </row>
    <row r="229" ht="18.0" customHeight="1">
      <c r="A229" s="288" t="s">
        <v>1915</v>
      </c>
      <c r="B229" s="288" t="s">
        <v>1916</v>
      </c>
      <c r="C229" s="20"/>
      <c r="D229" s="20"/>
      <c r="E229" s="20"/>
      <c r="F229" s="6"/>
      <c r="G229" s="6"/>
      <c r="H229" s="6"/>
      <c r="I229" s="6"/>
      <c r="J229" s="6"/>
      <c r="K229" s="6"/>
      <c r="L229" s="6"/>
      <c r="M229" s="6"/>
      <c r="N229" s="6"/>
      <c r="O229" s="6"/>
      <c r="P229" s="6"/>
      <c r="Q229" s="6"/>
      <c r="R229" s="6"/>
      <c r="S229" s="6"/>
      <c r="T229" s="6"/>
      <c r="U229" s="6"/>
      <c r="V229" s="6"/>
      <c r="W229" s="6"/>
      <c r="X229" s="6"/>
      <c r="Y229" s="6"/>
      <c r="Z229" s="6"/>
    </row>
    <row r="230" ht="18.0" customHeight="1">
      <c r="A230" s="288" t="s">
        <v>1917</v>
      </c>
      <c r="B230" s="288" t="s">
        <v>1918</v>
      </c>
      <c r="C230" s="20"/>
      <c r="D230" s="20"/>
      <c r="E230" s="20"/>
      <c r="F230" s="6"/>
      <c r="G230" s="6"/>
      <c r="H230" s="6"/>
      <c r="I230" s="6"/>
      <c r="J230" s="6"/>
      <c r="K230" s="6"/>
      <c r="L230" s="6"/>
      <c r="M230" s="6"/>
      <c r="N230" s="6"/>
      <c r="O230" s="6"/>
      <c r="P230" s="6"/>
      <c r="Q230" s="6"/>
      <c r="R230" s="6"/>
      <c r="S230" s="6"/>
      <c r="T230" s="6"/>
      <c r="U230" s="6"/>
      <c r="V230" s="6"/>
      <c r="W230" s="6"/>
      <c r="X230" s="6"/>
      <c r="Y230" s="6"/>
      <c r="Z230" s="6"/>
    </row>
    <row r="231" ht="18.0" customHeight="1">
      <c r="A231" s="288" t="s">
        <v>1919</v>
      </c>
      <c r="B231" s="288" t="s">
        <v>1920</v>
      </c>
      <c r="C231" s="20"/>
      <c r="D231" s="20"/>
      <c r="E231" s="20"/>
      <c r="F231" s="6"/>
      <c r="G231" s="6"/>
      <c r="H231" s="6"/>
      <c r="I231" s="6"/>
      <c r="J231" s="6"/>
      <c r="K231" s="6"/>
      <c r="L231" s="6"/>
      <c r="M231" s="6"/>
      <c r="N231" s="6"/>
      <c r="O231" s="6"/>
      <c r="P231" s="6"/>
      <c r="Q231" s="6"/>
      <c r="R231" s="6"/>
      <c r="S231" s="6"/>
      <c r="T231" s="6"/>
      <c r="U231" s="6"/>
      <c r="V231" s="6"/>
      <c r="W231" s="6"/>
      <c r="X231" s="6"/>
      <c r="Y231" s="6"/>
      <c r="Z231" s="6"/>
    </row>
    <row r="232" ht="18.0" customHeight="1">
      <c r="A232" s="288" t="s">
        <v>1921</v>
      </c>
      <c r="B232" s="288" t="s">
        <v>1922</v>
      </c>
      <c r="C232" s="20"/>
      <c r="D232" s="20"/>
      <c r="E232" s="20"/>
      <c r="F232" s="6"/>
      <c r="G232" s="6"/>
      <c r="H232" s="6"/>
      <c r="I232" s="6"/>
      <c r="J232" s="6"/>
      <c r="K232" s="6"/>
      <c r="L232" s="6"/>
      <c r="M232" s="6"/>
      <c r="N232" s="6"/>
      <c r="O232" s="6"/>
      <c r="P232" s="6"/>
      <c r="Q232" s="6"/>
      <c r="R232" s="6"/>
      <c r="S232" s="6"/>
      <c r="T232" s="6"/>
      <c r="U232" s="6"/>
      <c r="V232" s="6"/>
      <c r="W232" s="6"/>
      <c r="X232" s="6"/>
      <c r="Y232" s="6"/>
      <c r="Z232" s="6"/>
    </row>
    <row r="233" ht="18.0" customHeight="1">
      <c r="A233" s="288" t="s">
        <v>1923</v>
      </c>
      <c r="B233" s="288" t="s">
        <v>1924</v>
      </c>
      <c r="C233" s="20"/>
      <c r="D233" s="20"/>
      <c r="E233" s="20"/>
      <c r="F233" s="6"/>
      <c r="G233" s="6"/>
      <c r="H233" s="6"/>
      <c r="I233" s="6"/>
      <c r="J233" s="6"/>
      <c r="K233" s="6"/>
      <c r="L233" s="6"/>
      <c r="M233" s="6"/>
      <c r="N233" s="6"/>
      <c r="O233" s="6"/>
      <c r="P233" s="6"/>
      <c r="Q233" s="6"/>
      <c r="R233" s="6"/>
      <c r="S233" s="6"/>
      <c r="T233" s="6"/>
      <c r="U233" s="6"/>
      <c r="V233" s="6"/>
      <c r="W233" s="6"/>
      <c r="X233" s="6"/>
      <c r="Y233" s="6"/>
      <c r="Z233" s="6"/>
    </row>
    <row r="234" ht="18.0" customHeight="1">
      <c r="A234" s="288" t="s">
        <v>1925</v>
      </c>
      <c r="B234" s="288" t="s">
        <v>1926</v>
      </c>
      <c r="C234" s="20"/>
      <c r="D234" s="20"/>
      <c r="E234" s="20"/>
      <c r="F234" s="6"/>
      <c r="G234" s="6"/>
      <c r="H234" s="6"/>
      <c r="I234" s="6"/>
      <c r="J234" s="6"/>
      <c r="K234" s="6"/>
      <c r="L234" s="6"/>
      <c r="M234" s="6"/>
      <c r="N234" s="6"/>
      <c r="O234" s="6"/>
      <c r="P234" s="6"/>
      <c r="Q234" s="6"/>
      <c r="R234" s="6"/>
      <c r="S234" s="6"/>
      <c r="T234" s="6"/>
      <c r="U234" s="6"/>
      <c r="V234" s="6"/>
      <c r="W234" s="6"/>
      <c r="X234" s="6"/>
      <c r="Y234" s="6"/>
      <c r="Z234" s="6"/>
    </row>
    <row r="235" ht="18.0" customHeight="1">
      <c r="A235" s="288" t="s">
        <v>1927</v>
      </c>
      <c r="B235" s="288" t="s">
        <v>1928</v>
      </c>
      <c r="C235" s="20"/>
      <c r="D235" s="20"/>
      <c r="E235" s="20"/>
      <c r="F235" s="6"/>
      <c r="G235" s="6"/>
      <c r="H235" s="6"/>
      <c r="I235" s="6"/>
      <c r="J235" s="6"/>
      <c r="K235" s="6"/>
      <c r="L235" s="6"/>
      <c r="M235" s="6"/>
      <c r="N235" s="6"/>
      <c r="O235" s="6"/>
      <c r="P235" s="6"/>
      <c r="Q235" s="6"/>
      <c r="R235" s="6"/>
      <c r="S235" s="6"/>
      <c r="T235" s="6"/>
      <c r="U235" s="6"/>
      <c r="V235" s="6"/>
      <c r="W235" s="6"/>
      <c r="X235" s="6"/>
      <c r="Y235" s="6"/>
      <c r="Z235" s="6"/>
    </row>
    <row r="236" ht="18.0" customHeight="1">
      <c r="A236" s="288" t="s">
        <v>1929</v>
      </c>
      <c r="B236" s="288" t="s">
        <v>1930</v>
      </c>
      <c r="C236" s="20"/>
      <c r="D236" s="20"/>
      <c r="E236" s="20"/>
      <c r="F236" s="6"/>
      <c r="G236" s="6"/>
      <c r="H236" s="6"/>
      <c r="I236" s="6"/>
      <c r="J236" s="6"/>
      <c r="K236" s="6"/>
      <c r="L236" s="6"/>
      <c r="M236" s="6"/>
      <c r="N236" s="6"/>
      <c r="O236" s="6"/>
      <c r="P236" s="6"/>
      <c r="Q236" s="6"/>
      <c r="R236" s="6"/>
      <c r="S236" s="6"/>
      <c r="T236" s="6"/>
      <c r="U236" s="6"/>
      <c r="V236" s="6"/>
      <c r="W236" s="6"/>
      <c r="X236" s="6"/>
      <c r="Y236" s="6"/>
      <c r="Z236" s="6"/>
    </row>
    <row r="237" ht="30.0" customHeight="1">
      <c r="A237" s="287" t="s">
        <v>857</v>
      </c>
      <c r="B237" s="286" t="s">
        <v>1931</v>
      </c>
      <c r="C237" s="20"/>
      <c r="D237" s="20"/>
      <c r="E237" s="20"/>
      <c r="F237" s="6"/>
      <c r="G237" s="6"/>
      <c r="H237" s="6"/>
      <c r="I237" s="6"/>
      <c r="J237" s="6"/>
      <c r="K237" s="6"/>
      <c r="L237" s="6"/>
      <c r="M237" s="6"/>
      <c r="N237" s="6"/>
      <c r="O237" s="6"/>
      <c r="P237" s="6"/>
      <c r="Q237" s="6"/>
      <c r="R237" s="6"/>
      <c r="S237" s="6"/>
      <c r="T237" s="6"/>
      <c r="U237" s="6"/>
      <c r="V237" s="6"/>
      <c r="W237" s="6"/>
      <c r="X237" s="6"/>
      <c r="Y237" s="6"/>
      <c r="Z237" s="6"/>
    </row>
    <row r="238" ht="45.0" customHeight="1">
      <c r="A238" s="287" t="s">
        <v>869</v>
      </c>
      <c r="B238" s="286" t="s">
        <v>1932</v>
      </c>
      <c r="C238" s="20"/>
      <c r="D238" s="20"/>
      <c r="E238" s="20"/>
      <c r="F238" s="6"/>
      <c r="G238" s="6"/>
      <c r="H238" s="6"/>
      <c r="I238" s="6"/>
      <c r="J238" s="6"/>
      <c r="K238" s="6"/>
      <c r="L238" s="6"/>
      <c r="M238" s="6"/>
      <c r="N238" s="6"/>
      <c r="O238" s="6"/>
      <c r="P238" s="6"/>
      <c r="Q238" s="6"/>
      <c r="R238" s="6"/>
      <c r="S238" s="6"/>
      <c r="T238" s="6"/>
      <c r="U238" s="6"/>
      <c r="V238" s="6"/>
      <c r="W238" s="6"/>
      <c r="X238" s="6"/>
      <c r="Y238" s="6"/>
      <c r="Z238" s="6"/>
    </row>
    <row r="239" ht="30.0" customHeight="1">
      <c r="A239" s="287" t="s">
        <v>899</v>
      </c>
      <c r="B239" s="286" t="s">
        <v>1933</v>
      </c>
      <c r="C239" s="20"/>
      <c r="D239" s="20"/>
      <c r="E239" s="20"/>
      <c r="F239" s="6"/>
      <c r="G239" s="6"/>
      <c r="H239" s="6"/>
      <c r="I239" s="6"/>
      <c r="J239" s="6"/>
      <c r="K239" s="6"/>
      <c r="L239" s="6"/>
      <c r="M239" s="6"/>
      <c r="N239" s="6"/>
      <c r="O239" s="6"/>
      <c r="P239" s="6"/>
      <c r="Q239" s="6"/>
      <c r="R239" s="6"/>
      <c r="S239" s="6"/>
      <c r="T239" s="6"/>
      <c r="U239" s="6"/>
      <c r="V239" s="6"/>
      <c r="W239" s="6"/>
      <c r="X239" s="6"/>
      <c r="Y239" s="6"/>
      <c r="Z239" s="6"/>
    </row>
    <row r="240" ht="30.0" customHeight="1">
      <c r="A240" s="287" t="s">
        <v>941</v>
      </c>
      <c r="B240" s="286" t="s">
        <v>1934</v>
      </c>
      <c r="C240" s="20"/>
      <c r="D240" s="20"/>
      <c r="E240" s="20"/>
      <c r="F240" s="6"/>
      <c r="G240" s="6"/>
      <c r="H240" s="6"/>
      <c r="I240" s="6"/>
      <c r="J240" s="6"/>
      <c r="K240" s="6"/>
      <c r="L240" s="6"/>
      <c r="M240" s="6"/>
      <c r="N240" s="6"/>
      <c r="O240" s="6"/>
      <c r="P240" s="6"/>
      <c r="Q240" s="6"/>
      <c r="R240" s="6"/>
      <c r="S240" s="6"/>
      <c r="T240" s="6"/>
      <c r="U240" s="6"/>
      <c r="V240" s="6"/>
      <c r="W240" s="6"/>
      <c r="X240" s="6"/>
      <c r="Y240" s="6"/>
      <c r="Z240" s="6"/>
    </row>
    <row r="241" ht="30.0" customHeight="1">
      <c r="A241" s="287" t="s">
        <v>988</v>
      </c>
      <c r="B241" s="286" t="s">
        <v>1935</v>
      </c>
      <c r="C241" s="20"/>
      <c r="D241" s="20"/>
      <c r="E241" s="20"/>
      <c r="F241" s="6"/>
      <c r="G241" s="6"/>
      <c r="H241" s="6"/>
      <c r="I241" s="6"/>
      <c r="J241" s="6"/>
      <c r="K241" s="6"/>
      <c r="L241" s="6"/>
      <c r="M241" s="6"/>
      <c r="N241" s="6"/>
      <c r="O241" s="6"/>
      <c r="P241" s="6"/>
      <c r="Q241" s="6"/>
      <c r="R241" s="6"/>
      <c r="S241" s="6"/>
      <c r="T241" s="6"/>
      <c r="U241" s="6"/>
      <c r="V241" s="6"/>
      <c r="W241" s="6"/>
      <c r="X241" s="6"/>
      <c r="Y241" s="6"/>
      <c r="Z241" s="6"/>
    </row>
    <row r="242" ht="45.0" customHeight="1">
      <c r="A242" s="287" t="s">
        <v>1014</v>
      </c>
      <c r="B242" s="286" t="s">
        <v>1936</v>
      </c>
      <c r="C242" s="20"/>
      <c r="D242" s="20"/>
      <c r="E242" s="20"/>
      <c r="F242" s="6"/>
      <c r="G242" s="6"/>
      <c r="H242" s="6"/>
      <c r="I242" s="6"/>
      <c r="J242" s="6"/>
      <c r="K242" s="6"/>
      <c r="L242" s="6"/>
      <c r="M242" s="6"/>
      <c r="N242" s="6"/>
      <c r="O242" s="6"/>
      <c r="P242" s="6"/>
      <c r="Q242" s="6"/>
      <c r="R242" s="6"/>
      <c r="S242" s="6"/>
      <c r="T242" s="6"/>
      <c r="U242" s="6"/>
      <c r="V242" s="6"/>
      <c r="W242" s="6"/>
      <c r="X242" s="6"/>
      <c r="Y242" s="6"/>
      <c r="Z242" s="6"/>
    </row>
    <row r="243" ht="60.0" customHeight="1">
      <c r="A243" s="287" t="s">
        <v>1032</v>
      </c>
      <c r="B243" s="286" t="s">
        <v>1937</v>
      </c>
      <c r="C243" s="20"/>
      <c r="D243" s="20"/>
      <c r="E243" s="20"/>
      <c r="F243" s="6"/>
      <c r="G243" s="6"/>
      <c r="H243" s="6"/>
      <c r="I243" s="6"/>
      <c r="J243" s="6"/>
      <c r="K243" s="6"/>
      <c r="L243" s="6"/>
      <c r="M243" s="6"/>
      <c r="N243" s="6"/>
      <c r="O243" s="6"/>
      <c r="P243" s="6"/>
      <c r="Q243" s="6"/>
      <c r="R243" s="6"/>
      <c r="S243" s="6"/>
      <c r="T243" s="6"/>
      <c r="U243" s="6"/>
      <c r="V243" s="6"/>
      <c r="W243" s="6"/>
      <c r="X243" s="6"/>
      <c r="Y243" s="6"/>
      <c r="Z243" s="6"/>
    </row>
    <row r="244" ht="75.0" customHeight="1">
      <c r="A244" s="287" t="s">
        <v>1035</v>
      </c>
      <c r="B244" s="286" t="s">
        <v>1938</v>
      </c>
      <c r="C244" s="20"/>
      <c r="D244" s="20"/>
      <c r="E244" s="20"/>
      <c r="F244" s="6"/>
      <c r="G244" s="6"/>
      <c r="H244" s="6"/>
      <c r="I244" s="6"/>
      <c r="J244" s="6"/>
      <c r="K244" s="6"/>
      <c r="L244" s="6"/>
      <c r="M244" s="6"/>
      <c r="N244" s="6"/>
      <c r="O244" s="6"/>
      <c r="P244" s="6"/>
      <c r="Q244" s="6"/>
      <c r="R244" s="6"/>
      <c r="S244" s="6"/>
      <c r="T244" s="6"/>
      <c r="U244" s="6"/>
      <c r="V244" s="6"/>
      <c r="W244" s="6"/>
      <c r="X244" s="6"/>
      <c r="Y244" s="6"/>
      <c r="Z244" s="6"/>
    </row>
    <row r="245" ht="30.0" customHeight="1">
      <c r="A245" s="287" t="s">
        <v>1101</v>
      </c>
      <c r="B245" s="286" t="s">
        <v>1939</v>
      </c>
      <c r="C245" s="20"/>
      <c r="D245" s="20"/>
      <c r="E245" s="20"/>
      <c r="F245" s="6"/>
      <c r="G245" s="6"/>
      <c r="H245" s="6"/>
      <c r="I245" s="6"/>
      <c r="J245" s="6"/>
      <c r="K245" s="6"/>
      <c r="L245" s="6"/>
      <c r="M245" s="6"/>
      <c r="N245" s="6"/>
      <c r="O245" s="6"/>
      <c r="P245" s="6"/>
      <c r="Q245" s="6"/>
      <c r="R245" s="6"/>
      <c r="S245" s="6"/>
      <c r="T245" s="6"/>
      <c r="U245" s="6"/>
      <c r="V245" s="6"/>
      <c r="W245" s="6"/>
      <c r="X245" s="6"/>
      <c r="Y245" s="6"/>
      <c r="Z245" s="6"/>
    </row>
    <row r="246" ht="18.0" customHeight="1">
      <c r="A246" s="287" t="s">
        <v>900</v>
      </c>
      <c r="B246" s="286" t="s">
        <v>1940</v>
      </c>
      <c r="C246" s="20"/>
      <c r="D246" s="20"/>
      <c r="E246" s="20"/>
      <c r="F246" s="6"/>
      <c r="G246" s="6"/>
      <c r="H246" s="6"/>
      <c r="I246" s="6"/>
      <c r="J246" s="6"/>
      <c r="K246" s="6"/>
      <c r="L246" s="6"/>
      <c r="M246" s="6"/>
      <c r="N246" s="6"/>
      <c r="O246" s="6"/>
      <c r="P246" s="6"/>
      <c r="Q246" s="6"/>
      <c r="R246" s="6"/>
      <c r="S246" s="6"/>
      <c r="T246" s="6"/>
      <c r="U246" s="6"/>
      <c r="V246" s="6"/>
      <c r="W246" s="6"/>
      <c r="X246" s="6"/>
      <c r="Y246" s="6"/>
      <c r="Z246" s="6"/>
    </row>
    <row r="247" ht="18.0" customHeight="1">
      <c r="A247" s="287" t="s">
        <v>844</v>
      </c>
      <c r="B247" s="286" t="s">
        <v>1941</v>
      </c>
      <c r="C247" s="20"/>
      <c r="D247" s="20"/>
      <c r="E247" s="20"/>
      <c r="F247" s="6"/>
      <c r="G247" s="6"/>
      <c r="H247" s="6"/>
      <c r="I247" s="6"/>
      <c r="J247" s="6"/>
      <c r="K247" s="6"/>
      <c r="L247" s="6"/>
      <c r="M247" s="6"/>
      <c r="N247" s="6"/>
      <c r="O247" s="6"/>
      <c r="P247" s="6"/>
      <c r="Q247" s="6"/>
      <c r="R247" s="6"/>
      <c r="S247" s="6"/>
      <c r="T247" s="6"/>
      <c r="U247" s="6"/>
      <c r="V247" s="6"/>
      <c r="W247" s="6"/>
      <c r="X247" s="6"/>
      <c r="Y247" s="6"/>
      <c r="Z247" s="6"/>
    </row>
    <row r="248" ht="18.0" customHeight="1">
      <c r="A248" s="287" t="s">
        <v>997</v>
      </c>
      <c r="B248" s="286" t="s">
        <v>1942</v>
      </c>
      <c r="C248" s="20"/>
      <c r="D248" s="20"/>
      <c r="E248" s="20"/>
      <c r="F248" s="6"/>
      <c r="G248" s="6"/>
      <c r="H248" s="6"/>
      <c r="I248" s="6"/>
      <c r="J248" s="6"/>
      <c r="K248" s="6"/>
      <c r="L248" s="6"/>
      <c r="M248" s="6"/>
      <c r="N248" s="6"/>
      <c r="O248" s="6"/>
      <c r="P248" s="6"/>
      <c r="Q248" s="6"/>
      <c r="R248" s="6"/>
      <c r="S248" s="6"/>
      <c r="T248" s="6"/>
      <c r="U248" s="6"/>
      <c r="V248" s="6"/>
      <c r="W248" s="6"/>
      <c r="X248" s="6"/>
      <c r="Y248" s="6"/>
      <c r="Z248" s="6"/>
    </row>
    <row r="249" ht="18.0" customHeight="1">
      <c r="A249" s="287" t="s">
        <v>874</v>
      </c>
      <c r="B249" s="286" t="s">
        <v>1943</v>
      </c>
      <c r="C249" s="20"/>
      <c r="D249" s="20"/>
      <c r="E249" s="20"/>
      <c r="F249" s="6"/>
      <c r="G249" s="6"/>
      <c r="H249" s="6"/>
      <c r="I249" s="6"/>
      <c r="J249" s="6"/>
      <c r="K249" s="6"/>
      <c r="L249" s="6"/>
      <c r="M249" s="6"/>
      <c r="N249" s="6"/>
      <c r="O249" s="6"/>
      <c r="P249" s="6"/>
      <c r="Q249" s="6"/>
      <c r="R249" s="6"/>
      <c r="S249" s="6"/>
      <c r="T249" s="6"/>
      <c r="U249" s="6"/>
      <c r="V249" s="6"/>
      <c r="W249" s="6"/>
      <c r="X249" s="6"/>
      <c r="Y249" s="6"/>
      <c r="Z249" s="6"/>
    </row>
    <row r="250" ht="18.0" customHeight="1">
      <c r="A250" s="287" t="s">
        <v>1944</v>
      </c>
      <c r="B250" s="286" t="s">
        <v>1945</v>
      </c>
      <c r="C250" s="20"/>
      <c r="D250" s="20"/>
      <c r="E250" s="20"/>
      <c r="F250" s="6"/>
      <c r="G250" s="6"/>
      <c r="H250" s="6"/>
      <c r="I250" s="6"/>
      <c r="J250" s="6"/>
      <c r="K250" s="6"/>
      <c r="L250" s="6"/>
      <c r="M250" s="6"/>
      <c r="N250" s="6"/>
      <c r="O250" s="6"/>
      <c r="P250" s="6"/>
      <c r="Q250" s="6"/>
      <c r="R250" s="6"/>
      <c r="S250" s="6"/>
      <c r="T250" s="6"/>
      <c r="U250" s="6"/>
      <c r="V250" s="6"/>
      <c r="W250" s="6"/>
      <c r="X250" s="6"/>
      <c r="Y250" s="6"/>
      <c r="Z250" s="6"/>
    </row>
    <row r="251" ht="18.0" customHeight="1">
      <c r="A251" s="287" t="s">
        <v>1946</v>
      </c>
      <c r="B251" s="286" t="s">
        <v>1947</v>
      </c>
      <c r="C251" s="20"/>
      <c r="D251" s="20"/>
      <c r="E251" s="20"/>
      <c r="F251" s="6"/>
      <c r="G251" s="6"/>
      <c r="H251" s="6"/>
      <c r="I251" s="6"/>
      <c r="J251" s="6"/>
      <c r="K251" s="6"/>
      <c r="L251" s="6"/>
      <c r="M251" s="6"/>
      <c r="N251" s="6"/>
      <c r="O251" s="6"/>
      <c r="P251" s="6"/>
      <c r="Q251" s="6"/>
      <c r="R251" s="6"/>
      <c r="S251" s="6"/>
      <c r="T251" s="6"/>
      <c r="U251" s="6"/>
      <c r="V251" s="6"/>
      <c r="W251" s="6"/>
      <c r="X251" s="6"/>
      <c r="Y251" s="6"/>
      <c r="Z251" s="6"/>
    </row>
    <row r="252" ht="18.0" customHeight="1">
      <c r="A252" s="287" t="s">
        <v>1091</v>
      </c>
      <c r="B252" s="286" t="s">
        <v>1948</v>
      </c>
      <c r="C252" s="20"/>
      <c r="D252" s="20"/>
      <c r="E252" s="20"/>
      <c r="F252" s="6"/>
      <c r="G252" s="6"/>
      <c r="H252" s="6"/>
      <c r="I252" s="6"/>
      <c r="J252" s="6"/>
      <c r="K252" s="6"/>
      <c r="L252" s="6"/>
      <c r="M252" s="6"/>
      <c r="N252" s="6"/>
      <c r="O252" s="6"/>
      <c r="P252" s="6"/>
      <c r="Q252" s="6"/>
      <c r="R252" s="6"/>
      <c r="S252" s="6"/>
      <c r="T252" s="6"/>
      <c r="U252" s="6"/>
      <c r="V252" s="6"/>
      <c r="W252" s="6"/>
      <c r="X252" s="6"/>
      <c r="Y252" s="6"/>
      <c r="Z252" s="6"/>
    </row>
    <row r="253" ht="18.0" customHeight="1">
      <c r="A253" s="287" t="s">
        <v>1132</v>
      </c>
      <c r="B253" s="286" t="s">
        <v>1949</v>
      </c>
      <c r="C253" s="20"/>
      <c r="D253" s="20"/>
      <c r="E253" s="20"/>
      <c r="F253" s="6"/>
      <c r="G253" s="6"/>
      <c r="H253" s="6"/>
      <c r="I253" s="6"/>
      <c r="J253" s="6"/>
      <c r="K253" s="6"/>
      <c r="L253" s="6"/>
      <c r="M253" s="6"/>
      <c r="N253" s="6"/>
      <c r="O253" s="6"/>
      <c r="P253" s="6"/>
      <c r="Q253" s="6"/>
      <c r="R253" s="6"/>
      <c r="S253" s="6"/>
      <c r="T253" s="6"/>
      <c r="U253" s="6"/>
      <c r="V253" s="6"/>
      <c r="W253" s="6"/>
      <c r="X253" s="6"/>
      <c r="Y253" s="6"/>
      <c r="Z253" s="6"/>
    </row>
    <row r="254" ht="18.0" customHeight="1">
      <c r="A254" s="287" t="s">
        <v>1950</v>
      </c>
      <c r="B254" s="286" t="s">
        <v>1951</v>
      </c>
      <c r="C254" s="20"/>
      <c r="D254" s="20"/>
      <c r="E254" s="20"/>
      <c r="F254" s="6"/>
      <c r="G254" s="6"/>
      <c r="H254" s="6"/>
      <c r="I254" s="6"/>
      <c r="J254" s="6"/>
      <c r="K254" s="6"/>
      <c r="L254" s="6"/>
      <c r="M254" s="6"/>
      <c r="N254" s="6"/>
      <c r="O254" s="6"/>
      <c r="P254" s="6"/>
      <c r="Q254" s="6"/>
      <c r="R254" s="6"/>
      <c r="S254" s="6"/>
      <c r="T254" s="6"/>
      <c r="U254" s="6"/>
      <c r="V254" s="6"/>
      <c r="W254" s="6"/>
      <c r="X254" s="6"/>
      <c r="Y254" s="6"/>
      <c r="Z254" s="6"/>
    </row>
    <row r="255" ht="18.0" customHeight="1">
      <c r="A255" s="287" t="s">
        <v>1952</v>
      </c>
      <c r="B255" s="286" t="s">
        <v>1953</v>
      </c>
      <c r="C255" s="20"/>
      <c r="D255" s="20"/>
      <c r="E255" s="20"/>
      <c r="F255" s="6"/>
      <c r="G255" s="6"/>
      <c r="H255" s="6"/>
      <c r="I255" s="6"/>
      <c r="J255" s="6"/>
      <c r="K255" s="6"/>
      <c r="L255" s="6"/>
      <c r="M255" s="6"/>
      <c r="N255" s="6"/>
      <c r="O255" s="6"/>
      <c r="P255" s="6"/>
      <c r="Q255" s="6"/>
      <c r="R255" s="6"/>
      <c r="S255" s="6"/>
      <c r="T255" s="6"/>
      <c r="U255" s="6"/>
      <c r="V255" s="6"/>
      <c r="W255" s="6"/>
      <c r="X255" s="6"/>
      <c r="Y255" s="6"/>
      <c r="Z255" s="6"/>
    </row>
    <row r="256" ht="18.0" customHeight="1">
      <c r="A256" s="287" t="s">
        <v>1954</v>
      </c>
      <c r="B256" s="286" t="s">
        <v>1955</v>
      </c>
      <c r="C256" s="20"/>
      <c r="D256" s="20"/>
      <c r="E256" s="20"/>
      <c r="F256" s="6"/>
      <c r="G256" s="6"/>
      <c r="H256" s="6"/>
      <c r="I256" s="6"/>
      <c r="J256" s="6"/>
      <c r="K256" s="6"/>
      <c r="L256" s="6"/>
      <c r="M256" s="6"/>
      <c r="N256" s="6"/>
      <c r="O256" s="6"/>
      <c r="P256" s="6"/>
      <c r="Q256" s="6"/>
      <c r="R256" s="6"/>
      <c r="S256" s="6"/>
      <c r="T256" s="6"/>
      <c r="U256" s="6"/>
      <c r="V256" s="6"/>
      <c r="W256" s="6"/>
      <c r="X256" s="6"/>
      <c r="Y256" s="6"/>
      <c r="Z256" s="6"/>
    </row>
    <row r="257" ht="18.0" customHeight="1">
      <c r="A257" s="287" t="s">
        <v>1956</v>
      </c>
      <c r="B257" s="286" t="s">
        <v>1957</v>
      </c>
      <c r="C257" s="20"/>
      <c r="D257" s="20"/>
      <c r="E257" s="20"/>
      <c r="F257" s="6"/>
      <c r="G257" s="6"/>
      <c r="H257" s="6"/>
      <c r="I257" s="6"/>
      <c r="J257" s="6"/>
      <c r="K257" s="6"/>
      <c r="L257" s="6"/>
      <c r="M257" s="6"/>
      <c r="N257" s="6"/>
      <c r="O257" s="6"/>
      <c r="P257" s="6"/>
      <c r="Q257" s="6"/>
      <c r="R257" s="6"/>
      <c r="S257" s="6"/>
      <c r="T257" s="6"/>
      <c r="U257" s="6"/>
      <c r="V257" s="6"/>
      <c r="W257" s="6"/>
      <c r="X257" s="6"/>
      <c r="Y257" s="6"/>
      <c r="Z257" s="6"/>
    </row>
    <row r="258" ht="18.0" customHeight="1">
      <c r="A258" s="287" t="s">
        <v>1958</v>
      </c>
      <c r="B258" s="286" t="s">
        <v>1959</v>
      </c>
      <c r="C258" s="20"/>
      <c r="D258" s="20"/>
      <c r="E258" s="20"/>
      <c r="F258" s="6"/>
      <c r="G258" s="6"/>
      <c r="H258" s="6"/>
      <c r="I258" s="6"/>
      <c r="J258" s="6"/>
      <c r="K258" s="6"/>
      <c r="L258" s="6"/>
      <c r="M258" s="6"/>
      <c r="N258" s="6"/>
      <c r="O258" s="6"/>
      <c r="P258" s="6"/>
      <c r="Q258" s="6"/>
      <c r="R258" s="6"/>
      <c r="S258" s="6"/>
      <c r="T258" s="6"/>
      <c r="U258" s="6"/>
      <c r="V258" s="6"/>
      <c r="W258" s="6"/>
      <c r="X258" s="6"/>
      <c r="Y258" s="6"/>
      <c r="Z258" s="6"/>
    </row>
    <row r="259" ht="18.0" customHeight="1">
      <c r="A259" s="287" t="s">
        <v>1960</v>
      </c>
      <c r="B259" s="286" t="s">
        <v>1961</v>
      </c>
      <c r="C259" s="20"/>
      <c r="D259" s="20"/>
      <c r="E259" s="20"/>
      <c r="F259" s="6"/>
      <c r="G259" s="6"/>
      <c r="H259" s="6"/>
      <c r="I259" s="6"/>
      <c r="J259" s="6"/>
      <c r="K259" s="6"/>
      <c r="L259" s="6"/>
      <c r="M259" s="6"/>
      <c r="N259" s="6"/>
      <c r="O259" s="6"/>
      <c r="P259" s="6"/>
      <c r="Q259" s="6"/>
      <c r="R259" s="6"/>
      <c r="S259" s="6"/>
      <c r="T259" s="6"/>
      <c r="U259" s="6"/>
      <c r="V259" s="6"/>
      <c r="W259" s="6"/>
      <c r="X259" s="6"/>
      <c r="Y259" s="6"/>
      <c r="Z259" s="6"/>
    </row>
    <row r="260" ht="18.0" customHeight="1">
      <c r="A260" s="287" t="s">
        <v>1962</v>
      </c>
      <c r="B260" s="286" t="s">
        <v>1963</v>
      </c>
      <c r="C260" s="20"/>
      <c r="D260" s="20"/>
      <c r="E260" s="20"/>
      <c r="F260" s="6"/>
      <c r="G260" s="6"/>
      <c r="H260" s="6"/>
      <c r="I260" s="6"/>
      <c r="J260" s="6"/>
      <c r="K260" s="6"/>
      <c r="L260" s="6"/>
      <c r="M260" s="6"/>
      <c r="N260" s="6"/>
      <c r="O260" s="6"/>
      <c r="P260" s="6"/>
      <c r="Q260" s="6"/>
      <c r="R260" s="6"/>
      <c r="S260" s="6"/>
      <c r="T260" s="6"/>
      <c r="U260" s="6"/>
      <c r="V260" s="6"/>
      <c r="W260" s="6"/>
      <c r="X260" s="6"/>
      <c r="Y260" s="6"/>
      <c r="Z260" s="6"/>
    </row>
    <row r="261" ht="18.0" customHeight="1">
      <c r="A261" s="287" t="s">
        <v>1964</v>
      </c>
      <c r="B261" s="286" t="s">
        <v>1965</v>
      </c>
      <c r="C261" s="20"/>
      <c r="D261" s="20"/>
      <c r="E261" s="20"/>
      <c r="F261" s="6"/>
      <c r="G261" s="6"/>
      <c r="H261" s="6"/>
      <c r="I261" s="6"/>
      <c r="J261" s="6"/>
      <c r="K261" s="6"/>
      <c r="L261" s="6"/>
      <c r="M261" s="6"/>
      <c r="N261" s="6"/>
      <c r="O261" s="6"/>
      <c r="P261" s="6"/>
      <c r="Q261" s="6"/>
      <c r="R261" s="6"/>
      <c r="S261" s="6"/>
      <c r="T261" s="6"/>
      <c r="U261" s="6"/>
      <c r="V261" s="6"/>
      <c r="W261" s="6"/>
      <c r="X261" s="6"/>
      <c r="Y261" s="6"/>
      <c r="Z261" s="6"/>
    </row>
    <row r="262" ht="18.0" customHeight="1">
      <c r="A262" s="287" t="s">
        <v>1966</v>
      </c>
      <c r="B262" s="286" t="s">
        <v>1967</v>
      </c>
      <c r="C262" s="20"/>
      <c r="D262" s="20"/>
      <c r="E262" s="20"/>
      <c r="F262" s="6"/>
      <c r="G262" s="6"/>
      <c r="H262" s="6"/>
      <c r="I262" s="6"/>
      <c r="J262" s="6"/>
      <c r="K262" s="6"/>
      <c r="L262" s="6"/>
      <c r="M262" s="6"/>
      <c r="N262" s="6"/>
      <c r="O262" s="6"/>
      <c r="P262" s="6"/>
      <c r="Q262" s="6"/>
      <c r="R262" s="6"/>
      <c r="S262" s="6"/>
      <c r="T262" s="6"/>
      <c r="U262" s="6"/>
      <c r="V262" s="6"/>
      <c r="W262" s="6"/>
      <c r="X262" s="6"/>
      <c r="Y262" s="6"/>
      <c r="Z262" s="6"/>
    </row>
    <row r="263" ht="18.0" customHeight="1">
      <c r="A263" s="287" t="s">
        <v>1968</v>
      </c>
      <c r="B263" s="286" t="s">
        <v>1969</v>
      </c>
      <c r="C263" s="20"/>
      <c r="D263" s="20"/>
      <c r="E263" s="20"/>
      <c r="F263" s="6"/>
      <c r="G263" s="6"/>
      <c r="H263" s="6"/>
      <c r="I263" s="6"/>
      <c r="J263" s="6"/>
      <c r="K263" s="6"/>
      <c r="L263" s="6"/>
      <c r="M263" s="6"/>
      <c r="N263" s="6"/>
      <c r="O263" s="6"/>
      <c r="P263" s="6"/>
      <c r="Q263" s="6"/>
      <c r="R263" s="6"/>
      <c r="S263" s="6"/>
      <c r="T263" s="6"/>
      <c r="U263" s="6"/>
      <c r="V263" s="6"/>
      <c r="W263" s="6"/>
      <c r="X263" s="6"/>
      <c r="Y263" s="6"/>
      <c r="Z263" s="6"/>
    </row>
    <row r="264" ht="18.0" customHeight="1">
      <c r="A264" s="287" t="s">
        <v>1026</v>
      </c>
      <c r="B264" s="286" t="s">
        <v>1970</v>
      </c>
      <c r="C264" s="20"/>
      <c r="D264" s="20"/>
      <c r="E264" s="20"/>
      <c r="F264" s="6"/>
      <c r="G264" s="6"/>
      <c r="H264" s="6"/>
      <c r="I264" s="6"/>
      <c r="J264" s="6"/>
      <c r="K264" s="6"/>
      <c r="L264" s="6"/>
      <c r="M264" s="6"/>
      <c r="N264" s="6"/>
      <c r="O264" s="6"/>
      <c r="P264" s="6"/>
      <c r="Q264" s="6"/>
      <c r="R264" s="6"/>
      <c r="S264" s="6"/>
      <c r="T264" s="6"/>
      <c r="U264" s="6"/>
      <c r="V264" s="6"/>
      <c r="W264" s="6"/>
      <c r="X264" s="6"/>
      <c r="Y264" s="6"/>
      <c r="Z264" s="6"/>
    </row>
    <row r="265" ht="18.0" customHeight="1">
      <c r="A265" s="287" t="s">
        <v>1971</v>
      </c>
      <c r="B265" s="286" t="s">
        <v>1972</v>
      </c>
      <c r="C265" s="20"/>
      <c r="D265" s="20"/>
      <c r="E265" s="20"/>
      <c r="F265" s="6"/>
      <c r="G265" s="6"/>
      <c r="H265" s="6"/>
      <c r="I265" s="6"/>
      <c r="J265" s="6"/>
      <c r="K265" s="6"/>
      <c r="L265" s="6"/>
      <c r="M265" s="6"/>
      <c r="N265" s="6"/>
      <c r="O265" s="6"/>
      <c r="P265" s="6"/>
      <c r="Q265" s="6"/>
      <c r="R265" s="6"/>
      <c r="S265" s="6"/>
      <c r="T265" s="6"/>
      <c r="U265" s="6"/>
      <c r="V265" s="6"/>
      <c r="W265" s="6"/>
      <c r="X265" s="6"/>
      <c r="Y265" s="6"/>
      <c r="Z265" s="6"/>
    </row>
    <row r="266" ht="18.0" customHeight="1">
      <c r="A266" s="287" t="s">
        <v>1973</v>
      </c>
      <c r="B266" s="286" t="s">
        <v>1974</v>
      </c>
      <c r="C266" s="20"/>
      <c r="D266" s="20"/>
      <c r="E266" s="20"/>
      <c r="F266" s="6"/>
      <c r="G266" s="6"/>
      <c r="H266" s="6"/>
      <c r="I266" s="6"/>
      <c r="J266" s="6"/>
      <c r="K266" s="6"/>
      <c r="L266" s="6"/>
      <c r="M266" s="6"/>
      <c r="N266" s="6"/>
      <c r="O266" s="6"/>
      <c r="P266" s="6"/>
      <c r="Q266" s="6"/>
      <c r="R266" s="6"/>
      <c r="S266" s="6"/>
      <c r="T266" s="6"/>
      <c r="U266" s="6"/>
      <c r="V266" s="6"/>
      <c r="W266" s="6"/>
      <c r="X266" s="6"/>
      <c r="Y266" s="6"/>
      <c r="Z266" s="6"/>
    </row>
    <row r="267" ht="18.0" customHeight="1">
      <c r="A267" s="287" t="s">
        <v>944</v>
      </c>
      <c r="B267" s="286" t="s">
        <v>1975</v>
      </c>
      <c r="C267" s="20"/>
      <c r="D267" s="20"/>
      <c r="E267" s="20"/>
      <c r="F267" s="6"/>
      <c r="G267" s="6"/>
      <c r="H267" s="6"/>
      <c r="I267" s="6"/>
      <c r="J267" s="6"/>
      <c r="K267" s="6"/>
      <c r="L267" s="6"/>
      <c r="M267" s="6"/>
      <c r="N267" s="6"/>
      <c r="O267" s="6"/>
      <c r="P267" s="6"/>
      <c r="Q267" s="6"/>
      <c r="R267" s="6"/>
      <c r="S267" s="6"/>
      <c r="T267" s="6"/>
      <c r="U267" s="6"/>
      <c r="V267" s="6"/>
      <c r="W267" s="6"/>
      <c r="X267" s="6"/>
      <c r="Y267" s="6"/>
      <c r="Z267" s="6"/>
    </row>
    <row r="268" ht="18.0" customHeight="1">
      <c r="A268" s="287" t="s">
        <v>1086</v>
      </c>
      <c r="B268" s="286" t="s">
        <v>1976</v>
      </c>
      <c r="C268" s="20"/>
      <c r="D268" s="20"/>
      <c r="E268" s="20"/>
      <c r="F268" s="6"/>
      <c r="G268" s="6"/>
      <c r="H268" s="6"/>
      <c r="I268" s="6"/>
      <c r="J268" s="6"/>
      <c r="K268" s="6"/>
      <c r="L268" s="6"/>
      <c r="M268" s="6"/>
      <c r="N268" s="6"/>
      <c r="O268" s="6"/>
      <c r="P268" s="6"/>
      <c r="Q268" s="6"/>
      <c r="R268" s="6"/>
      <c r="S268" s="6"/>
      <c r="T268" s="6"/>
      <c r="U268" s="6"/>
      <c r="V268" s="6"/>
      <c r="W268" s="6"/>
      <c r="X268" s="6"/>
      <c r="Y268" s="6"/>
      <c r="Z268" s="6"/>
    </row>
    <row r="269" ht="18.0" customHeight="1">
      <c r="A269" s="287" t="s">
        <v>1115</v>
      </c>
      <c r="B269" s="286" t="s">
        <v>1977</v>
      </c>
      <c r="C269" s="20"/>
      <c r="D269" s="20"/>
      <c r="E269" s="20"/>
      <c r="F269" s="6"/>
      <c r="G269" s="6"/>
      <c r="H269" s="6"/>
      <c r="I269" s="6"/>
      <c r="J269" s="6"/>
      <c r="K269" s="6"/>
      <c r="L269" s="6"/>
      <c r="M269" s="6"/>
      <c r="N269" s="6"/>
      <c r="O269" s="6"/>
      <c r="P269" s="6"/>
      <c r="Q269" s="6"/>
      <c r="R269" s="6"/>
      <c r="S269" s="6"/>
      <c r="T269" s="6"/>
      <c r="U269" s="6"/>
      <c r="V269" s="6"/>
      <c r="W269" s="6"/>
      <c r="X269" s="6"/>
      <c r="Y269" s="6"/>
      <c r="Z269" s="6"/>
    </row>
    <row r="270" ht="18.0" customHeight="1">
      <c r="A270" s="287" t="s">
        <v>1978</v>
      </c>
      <c r="B270" s="286" t="s">
        <v>1979</v>
      </c>
      <c r="C270" s="20"/>
      <c r="D270" s="20"/>
      <c r="E270" s="20"/>
      <c r="F270" s="6"/>
      <c r="G270" s="6"/>
      <c r="H270" s="6"/>
      <c r="I270" s="6"/>
      <c r="J270" s="6"/>
      <c r="K270" s="6"/>
      <c r="L270" s="6"/>
      <c r="M270" s="6"/>
      <c r="N270" s="6"/>
      <c r="O270" s="6"/>
      <c r="P270" s="6"/>
      <c r="Q270" s="6"/>
      <c r="R270" s="6"/>
      <c r="S270" s="6"/>
      <c r="T270" s="6"/>
      <c r="U270" s="6"/>
      <c r="V270" s="6"/>
      <c r="W270" s="6"/>
      <c r="X270" s="6"/>
      <c r="Y270" s="6"/>
      <c r="Z270" s="6"/>
    </row>
    <row r="271" ht="18.0" customHeight="1">
      <c r="A271" s="287" t="s">
        <v>1018</v>
      </c>
      <c r="B271" s="286" t="s">
        <v>1980</v>
      </c>
      <c r="C271" s="20"/>
      <c r="D271" s="20"/>
      <c r="E271" s="20"/>
      <c r="F271" s="6"/>
      <c r="G271" s="6"/>
      <c r="H271" s="6"/>
      <c r="I271" s="6"/>
      <c r="J271" s="6"/>
      <c r="K271" s="6"/>
      <c r="L271" s="6"/>
      <c r="M271" s="6"/>
      <c r="N271" s="6"/>
      <c r="O271" s="6"/>
      <c r="P271" s="6"/>
      <c r="Q271" s="6"/>
      <c r="R271" s="6"/>
      <c r="S271" s="6"/>
      <c r="T271" s="6"/>
      <c r="U271" s="6"/>
      <c r="V271" s="6"/>
      <c r="W271" s="6"/>
      <c r="X271" s="6"/>
      <c r="Y271" s="6"/>
      <c r="Z271" s="6"/>
    </row>
    <row r="272" ht="18.0" customHeight="1">
      <c r="A272" s="287" t="s">
        <v>1148</v>
      </c>
      <c r="B272" s="286" t="s">
        <v>1981</v>
      </c>
      <c r="C272" s="20"/>
      <c r="D272" s="20"/>
      <c r="E272" s="20"/>
      <c r="F272" s="6"/>
      <c r="G272" s="6"/>
      <c r="H272" s="6"/>
      <c r="I272" s="6"/>
      <c r="J272" s="6"/>
      <c r="K272" s="6"/>
      <c r="L272" s="6"/>
      <c r="M272" s="6"/>
      <c r="N272" s="6"/>
      <c r="O272" s="6"/>
      <c r="P272" s="6"/>
      <c r="Q272" s="6"/>
      <c r="R272" s="6"/>
      <c r="S272" s="6"/>
      <c r="T272" s="6"/>
      <c r="U272" s="6"/>
      <c r="V272" s="6"/>
      <c r="W272" s="6"/>
      <c r="X272" s="6"/>
      <c r="Y272" s="6"/>
      <c r="Z272" s="6"/>
    </row>
    <row r="273" ht="18.0" customHeight="1">
      <c r="A273" s="287" t="s">
        <v>1982</v>
      </c>
      <c r="B273" s="286" t="s">
        <v>1983</v>
      </c>
      <c r="C273" s="20"/>
      <c r="D273" s="20"/>
      <c r="E273" s="20"/>
      <c r="F273" s="6"/>
      <c r="G273" s="6"/>
      <c r="H273" s="6"/>
      <c r="I273" s="6"/>
      <c r="J273" s="6"/>
      <c r="K273" s="6"/>
      <c r="L273" s="6"/>
      <c r="M273" s="6"/>
      <c r="N273" s="6"/>
      <c r="O273" s="6"/>
      <c r="P273" s="6"/>
      <c r="Q273" s="6"/>
      <c r="R273" s="6"/>
      <c r="S273" s="6"/>
      <c r="T273" s="6"/>
      <c r="U273" s="6"/>
      <c r="V273" s="6"/>
      <c r="W273" s="6"/>
      <c r="X273" s="6"/>
      <c r="Y273" s="6"/>
      <c r="Z273" s="6"/>
    </row>
    <row r="274" ht="18.0" customHeight="1">
      <c r="A274" s="287" t="s">
        <v>1984</v>
      </c>
      <c r="B274" s="286" t="s">
        <v>1985</v>
      </c>
      <c r="C274" s="20"/>
      <c r="D274" s="20"/>
      <c r="E274" s="20"/>
      <c r="F274" s="6"/>
      <c r="G274" s="6"/>
      <c r="H274" s="6"/>
      <c r="I274" s="6"/>
      <c r="J274" s="6"/>
      <c r="K274" s="6"/>
      <c r="L274" s="6"/>
      <c r="M274" s="6"/>
      <c r="N274" s="6"/>
      <c r="O274" s="6"/>
      <c r="P274" s="6"/>
      <c r="Q274" s="6"/>
      <c r="R274" s="6"/>
      <c r="S274" s="6"/>
      <c r="T274" s="6"/>
      <c r="U274" s="6"/>
      <c r="V274" s="6"/>
      <c r="W274" s="6"/>
      <c r="X274" s="6"/>
      <c r="Y274" s="6"/>
      <c r="Z274" s="6"/>
    </row>
    <row r="275" ht="18.0" customHeight="1">
      <c r="A275" s="287" t="s">
        <v>1986</v>
      </c>
      <c r="B275" s="286" t="s">
        <v>1987</v>
      </c>
      <c r="C275" s="20"/>
      <c r="D275" s="20"/>
      <c r="E275" s="20"/>
      <c r="F275" s="6"/>
      <c r="G275" s="6"/>
      <c r="H275" s="6"/>
      <c r="I275" s="6"/>
      <c r="J275" s="6"/>
      <c r="K275" s="6"/>
      <c r="L275" s="6"/>
      <c r="M275" s="6"/>
      <c r="N275" s="6"/>
      <c r="O275" s="6"/>
      <c r="P275" s="6"/>
      <c r="Q275" s="6"/>
      <c r="R275" s="6"/>
      <c r="S275" s="6"/>
      <c r="T275" s="6"/>
      <c r="U275" s="6"/>
      <c r="V275" s="6"/>
      <c r="W275" s="6"/>
      <c r="X275" s="6"/>
      <c r="Y275" s="6"/>
      <c r="Z275" s="6"/>
    </row>
    <row r="276" ht="18.0" customHeight="1">
      <c r="A276" s="287" t="s">
        <v>1988</v>
      </c>
      <c r="B276" s="286" t="s">
        <v>1989</v>
      </c>
      <c r="C276" s="20"/>
      <c r="D276" s="20"/>
      <c r="E276" s="20"/>
      <c r="F276" s="6"/>
      <c r="G276" s="6"/>
      <c r="H276" s="6"/>
      <c r="I276" s="6"/>
      <c r="J276" s="6"/>
      <c r="K276" s="6"/>
      <c r="L276" s="6"/>
      <c r="M276" s="6"/>
      <c r="N276" s="6"/>
      <c r="O276" s="6"/>
      <c r="P276" s="6"/>
      <c r="Q276" s="6"/>
      <c r="R276" s="6"/>
      <c r="S276" s="6"/>
      <c r="T276" s="6"/>
      <c r="U276" s="6"/>
      <c r="V276" s="6"/>
      <c r="W276" s="6"/>
      <c r="X276" s="6"/>
      <c r="Y276" s="6"/>
      <c r="Z276" s="6"/>
    </row>
    <row r="277" ht="18.0" customHeight="1">
      <c r="A277" s="287" t="s">
        <v>1990</v>
      </c>
      <c r="B277" s="286" t="s">
        <v>1991</v>
      </c>
      <c r="C277" s="20"/>
      <c r="D277" s="20"/>
      <c r="E277" s="20"/>
      <c r="F277" s="6"/>
      <c r="G277" s="6"/>
      <c r="H277" s="6"/>
      <c r="I277" s="6"/>
      <c r="J277" s="6"/>
      <c r="K277" s="6"/>
      <c r="L277" s="6"/>
      <c r="M277" s="6"/>
      <c r="N277" s="6"/>
      <c r="O277" s="6"/>
      <c r="P277" s="6"/>
      <c r="Q277" s="6"/>
      <c r="R277" s="6"/>
      <c r="S277" s="6"/>
      <c r="T277" s="6"/>
      <c r="U277" s="6"/>
      <c r="V277" s="6"/>
      <c r="W277" s="6"/>
      <c r="X277" s="6"/>
      <c r="Y277" s="6"/>
      <c r="Z277" s="6"/>
    </row>
    <row r="278" ht="18.0" customHeight="1">
      <c r="A278" s="287" t="s">
        <v>1992</v>
      </c>
      <c r="B278" s="286" t="s">
        <v>1993</v>
      </c>
      <c r="C278" s="20"/>
      <c r="D278" s="20"/>
      <c r="E278" s="20"/>
      <c r="F278" s="6"/>
      <c r="G278" s="6"/>
      <c r="H278" s="6"/>
      <c r="I278" s="6"/>
      <c r="J278" s="6"/>
      <c r="K278" s="6"/>
      <c r="L278" s="6"/>
      <c r="M278" s="6"/>
      <c r="N278" s="6"/>
      <c r="O278" s="6"/>
      <c r="P278" s="6"/>
      <c r="Q278" s="6"/>
      <c r="R278" s="6"/>
      <c r="S278" s="6"/>
      <c r="T278" s="6"/>
      <c r="U278" s="6"/>
      <c r="V278" s="6"/>
      <c r="W278" s="6"/>
      <c r="X278" s="6"/>
      <c r="Y278" s="6"/>
      <c r="Z278" s="6"/>
    </row>
    <row r="279" ht="18.0" customHeight="1">
      <c r="A279" s="287" t="s">
        <v>1994</v>
      </c>
      <c r="B279" s="286" t="s">
        <v>1995</v>
      </c>
      <c r="C279" s="20"/>
      <c r="D279" s="20"/>
      <c r="E279" s="20"/>
      <c r="F279" s="6"/>
      <c r="G279" s="6"/>
      <c r="H279" s="6"/>
      <c r="I279" s="6"/>
      <c r="J279" s="6"/>
      <c r="K279" s="6"/>
      <c r="L279" s="6"/>
      <c r="M279" s="6"/>
      <c r="N279" s="6"/>
      <c r="O279" s="6"/>
      <c r="P279" s="6"/>
      <c r="Q279" s="6"/>
      <c r="R279" s="6"/>
      <c r="S279" s="6"/>
      <c r="T279" s="6"/>
      <c r="U279" s="6"/>
      <c r="V279" s="6"/>
      <c r="W279" s="6"/>
      <c r="X279" s="6"/>
      <c r="Y279" s="6"/>
      <c r="Z279" s="6"/>
    </row>
    <row r="280" ht="18.0" customHeight="1">
      <c r="A280" s="287" t="s">
        <v>1996</v>
      </c>
      <c r="B280" s="286" t="s">
        <v>1997</v>
      </c>
      <c r="C280" s="20"/>
      <c r="D280" s="20"/>
      <c r="E280" s="20"/>
      <c r="F280" s="6"/>
      <c r="G280" s="6"/>
      <c r="H280" s="6"/>
      <c r="I280" s="6"/>
      <c r="J280" s="6"/>
      <c r="K280" s="6"/>
      <c r="L280" s="6"/>
      <c r="M280" s="6"/>
      <c r="N280" s="6"/>
      <c r="O280" s="6"/>
      <c r="P280" s="6"/>
      <c r="Q280" s="6"/>
      <c r="R280" s="6"/>
      <c r="S280" s="6"/>
      <c r="T280" s="6"/>
      <c r="U280" s="6"/>
      <c r="V280" s="6"/>
      <c r="W280" s="6"/>
      <c r="X280" s="6"/>
      <c r="Y280" s="6"/>
      <c r="Z280" s="6"/>
    </row>
    <row r="281" ht="18.0" customHeight="1">
      <c r="A281" s="287" t="s">
        <v>1998</v>
      </c>
      <c r="B281" s="286" t="s">
        <v>1999</v>
      </c>
      <c r="C281" s="20"/>
      <c r="D281" s="20"/>
      <c r="E281" s="20"/>
      <c r="F281" s="6"/>
      <c r="G281" s="6"/>
      <c r="H281" s="6"/>
      <c r="I281" s="6"/>
      <c r="J281" s="6"/>
      <c r="K281" s="6"/>
      <c r="L281" s="6"/>
      <c r="M281" s="6"/>
      <c r="N281" s="6"/>
      <c r="O281" s="6"/>
      <c r="P281" s="6"/>
      <c r="Q281" s="6"/>
      <c r="R281" s="6"/>
      <c r="S281" s="6"/>
      <c r="T281" s="6"/>
      <c r="U281" s="6"/>
      <c r="V281" s="6"/>
      <c r="W281" s="6"/>
      <c r="X281" s="6"/>
      <c r="Y281" s="6"/>
      <c r="Z281" s="6"/>
    </row>
    <row r="282" ht="18.0" customHeight="1">
      <c r="A282" s="287" t="s">
        <v>2000</v>
      </c>
      <c r="B282" s="286" t="s">
        <v>2001</v>
      </c>
      <c r="C282" s="20"/>
      <c r="D282" s="20"/>
      <c r="E282" s="20"/>
      <c r="F282" s="6"/>
      <c r="G282" s="6"/>
      <c r="H282" s="6"/>
      <c r="I282" s="6"/>
      <c r="J282" s="6"/>
      <c r="K282" s="6"/>
      <c r="L282" s="6"/>
      <c r="M282" s="6"/>
      <c r="N282" s="6"/>
      <c r="O282" s="6"/>
      <c r="P282" s="6"/>
      <c r="Q282" s="6"/>
      <c r="R282" s="6"/>
      <c r="S282" s="6"/>
      <c r="T282" s="6"/>
      <c r="U282" s="6"/>
      <c r="V282" s="6"/>
      <c r="W282" s="6"/>
      <c r="X282" s="6"/>
      <c r="Y282" s="6"/>
      <c r="Z282" s="6"/>
    </row>
    <row r="283" ht="18.0" customHeight="1">
      <c r="A283" s="287" t="s">
        <v>933</v>
      </c>
      <c r="B283" s="286" t="s">
        <v>2002</v>
      </c>
      <c r="C283" s="20"/>
      <c r="D283" s="20"/>
      <c r="E283" s="20"/>
      <c r="F283" s="6"/>
      <c r="G283" s="6"/>
      <c r="H283" s="6"/>
      <c r="I283" s="6"/>
      <c r="J283" s="6"/>
      <c r="K283" s="6"/>
      <c r="L283" s="6"/>
      <c r="M283" s="6"/>
      <c r="N283" s="6"/>
      <c r="O283" s="6"/>
      <c r="P283" s="6"/>
      <c r="Q283" s="6"/>
      <c r="R283" s="6"/>
      <c r="S283" s="6"/>
      <c r="T283" s="6"/>
      <c r="U283" s="6"/>
      <c r="V283" s="6"/>
      <c r="W283" s="6"/>
      <c r="X283" s="6"/>
      <c r="Y283" s="6"/>
      <c r="Z283" s="6"/>
    </row>
    <row r="284" ht="18.0" customHeight="1">
      <c r="A284" s="287" t="s">
        <v>2003</v>
      </c>
      <c r="B284" s="286" t="s">
        <v>2004</v>
      </c>
      <c r="C284" s="20"/>
      <c r="D284" s="20"/>
      <c r="E284" s="20"/>
      <c r="F284" s="6"/>
      <c r="G284" s="6"/>
      <c r="H284" s="6"/>
      <c r="I284" s="6"/>
      <c r="J284" s="6"/>
      <c r="K284" s="6"/>
      <c r="L284" s="6"/>
      <c r="M284" s="6"/>
      <c r="N284" s="6"/>
      <c r="O284" s="6"/>
      <c r="P284" s="6"/>
      <c r="Q284" s="6"/>
      <c r="R284" s="6"/>
      <c r="S284" s="6"/>
      <c r="T284" s="6"/>
      <c r="U284" s="6"/>
      <c r="V284" s="6"/>
      <c r="W284" s="6"/>
      <c r="X284" s="6"/>
      <c r="Y284" s="6"/>
      <c r="Z284" s="6"/>
    </row>
    <row r="285" ht="18.0" customHeight="1">
      <c r="A285" s="287" t="s">
        <v>2005</v>
      </c>
      <c r="B285" s="286" t="s">
        <v>2006</v>
      </c>
      <c r="C285" s="20"/>
      <c r="D285" s="20"/>
      <c r="E285" s="20"/>
      <c r="F285" s="6"/>
      <c r="G285" s="6"/>
      <c r="H285" s="6"/>
      <c r="I285" s="6"/>
      <c r="J285" s="6"/>
      <c r="K285" s="6"/>
      <c r="L285" s="6"/>
      <c r="M285" s="6"/>
      <c r="N285" s="6"/>
      <c r="O285" s="6"/>
      <c r="P285" s="6"/>
      <c r="Q285" s="6"/>
      <c r="R285" s="6"/>
      <c r="S285" s="6"/>
      <c r="T285" s="6"/>
      <c r="U285" s="6"/>
      <c r="V285" s="6"/>
      <c r="W285" s="6"/>
      <c r="X285" s="6"/>
      <c r="Y285" s="6"/>
      <c r="Z285" s="6"/>
    </row>
    <row r="286" ht="18.0" customHeight="1">
      <c r="A286" s="287" t="s">
        <v>2007</v>
      </c>
      <c r="B286" s="286" t="s">
        <v>2008</v>
      </c>
      <c r="C286" s="20"/>
      <c r="D286" s="20"/>
      <c r="E286" s="20"/>
      <c r="F286" s="6"/>
      <c r="G286" s="6"/>
      <c r="H286" s="6"/>
      <c r="I286" s="6"/>
      <c r="J286" s="6"/>
      <c r="K286" s="6"/>
      <c r="L286" s="6"/>
      <c r="M286" s="6"/>
      <c r="N286" s="6"/>
      <c r="O286" s="6"/>
      <c r="P286" s="6"/>
      <c r="Q286" s="6"/>
      <c r="R286" s="6"/>
      <c r="S286" s="6"/>
      <c r="T286" s="6"/>
      <c r="U286" s="6"/>
      <c r="V286" s="6"/>
      <c r="W286" s="6"/>
      <c r="X286" s="6"/>
      <c r="Y286" s="6"/>
      <c r="Z286" s="6"/>
    </row>
    <row r="287" ht="18.0" customHeight="1">
      <c r="A287" s="287" t="s">
        <v>2009</v>
      </c>
      <c r="B287" s="286" t="s">
        <v>2010</v>
      </c>
      <c r="C287" s="20"/>
      <c r="D287" s="20"/>
      <c r="E287" s="20"/>
      <c r="F287" s="6"/>
      <c r="G287" s="6"/>
      <c r="H287" s="6"/>
      <c r="I287" s="6"/>
      <c r="J287" s="6"/>
      <c r="K287" s="6"/>
      <c r="L287" s="6"/>
      <c r="M287" s="6"/>
      <c r="N287" s="6"/>
      <c r="O287" s="6"/>
      <c r="P287" s="6"/>
      <c r="Q287" s="6"/>
      <c r="R287" s="6"/>
      <c r="S287" s="6"/>
      <c r="T287" s="6"/>
      <c r="U287" s="6"/>
      <c r="V287" s="6"/>
      <c r="W287" s="6"/>
      <c r="X287" s="6"/>
      <c r="Y287" s="6"/>
      <c r="Z287" s="6"/>
    </row>
    <row r="288" ht="18.0" customHeight="1">
      <c r="A288" s="287" t="s">
        <v>858</v>
      </c>
      <c r="B288" s="286" t="s">
        <v>2011</v>
      </c>
      <c r="C288" s="20"/>
      <c r="D288" s="20"/>
      <c r="E288" s="20"/>
      <c r="F288" s="6"/>
      <c r="G288" s="6"/>
      <c r="H288" s="6"/>
      <c r="I288" s="6"/>
      <c r="J288" s="6"/>
      <c r="K288" s="6"/>
      <c r="L288" s="6"/>
      <c r="M288" s="6"/>
      <c r="N288" s="6"/>
      <c r="O288" s="6"/>
      <c r="P288" s="6"/>
      <c r="Q288" s="6"/>
      <c r="R288" s="6"/>
      <c r="S288" s="6"/>
      <c r="T288" s="6"/>
      <c r="U288" s="6"/>
      <c r="V288" s="6"/>
      <c r="W288" s="6"/>
      <c r="X288" s="6"/>
      <c r="Y288" s="6"/>
      <c r="Z288" s="6"/>
    </row>
    <row r="289" ht="18.0" customHeight="1">
      <c r="A289" s="287" t="s">
        <v>893</v>
      </c>
      <c r="B289" s="286" t="s">
        <v>2012</v>
      </c>
      <c r="C289" s="20"/>
      <c r="D289" s="20"/>
      <c r="E289" s="20"/>
      <c r="F289" s="6"/>
      <c r="G289" s="6"/>
      <c r="H289" s="6"/>
      <c r="I289" s="6"/>
      <c r="J289" s="6"/>
      <c r="K289" s="6"/>
      <c r="L289" s="6"/>
      <c r="M289" s="6"/>
      <c r="N289" s="6"/>
      <c r="O289" s="6"/>
      <c r="P289" s="6"/>
      <c r="Q289" s="6"/>
      <c r="R289" s="6"/>
      <c r="S289" s="6"/>
      <c r="T289" s="6"/>
      <c r="U289" s="6"/>
      <c r="V289" s="6"/>
      <c r="W289" s="6"/>
      <c r="X289" s="6"/>
      <c r="Y289" s="6"/>
      <c r="Z289" s="6"/>
    </row>
    <row r="290" ht="18.0" customHeight="1">
      <c r="A290" s="287" t="s">
        <v>2013</v>
      </c>
      <c r="B290" s="286" t="s">
        <v>2014</v>
      </c>
      <c r="C290" s="20"/>
      <c r="D290" s="20"/>
      <c r="E290" s="20"/>
      <c r="F290" s="6"/>
      <c r="G290" s="6"/>
      <c r="H290" s="6"/>
      <c r="I290" s="6"/>
      <c r="J290" s="6"/>
      <c r="K290" s="6"/>
      <c r="L290" s="6"/>
      <c r="M290" s="6"/>
      <c r="N290" s="6"/>
      <c r="O290" s="6"/>
      <c r="P290" s="6"/>
      <c r="Q290" s="6"/>
      <c r="R290" s="6"/>
      <c r="S290" s="6"/>
      <c r="T290" s="6"/>
      <c r="U290" s="6"/>
      <c r="V290" s="6"/>
      <c r="W290" s="6"/>
      <c r="X290" s="6"/>
      <c r="Y290" s="6"/>
      <c r="Z290" s="6"/>
    </row>
    <row r="291" ht="18.0" customHeight="1">
      <c r="A291" s="287" t="s">
        <v>2015</v>
      </c>
      <c r="B291" s="286" t="s">
        <v>2016</v>
      </c>
      <c r="C291" s="20"/>
      <c r="D291" s="20"/>
      <c r="E291" s="20"/>
      <c r="F291" s="6"/>
      <c r="G291" s="6"/>
      <c r="H291" s="6"/>
      <c r="I291" s="6"/>
      <c r="J291" s="6"/>
      <c r="K291" s="6"/>
      <c r="L291" s="6"/>
      <c r="M291" s="6"/>
      <c r="N291" s="6"/>
      <c r="O291" s="6"/>
      <c r="P291" s="6"/>
      <c r="Q291" s="6"/>
      <c r="R291" s="6"/>
      <c r="S291" s="6"/>
      <c r="T291" s="6"/>
      <c r="U291" s="6"/>
      <c r="V291" s="6"/>
      <c r="W291" s="6"/>
      <c r="X291" s="6"/>
      <c r="Y291" s="6"/>
      <c r="Z291" s="6"/>
    </row>
    <row r="292" ht="18.0" customHeight="1">
      <c r="A292" s="287" t="s">
        <v>2017</v>
      </c>
      <c r="B292" s="286" t="s">
        <v>2018</v>
      </c>
      <c r="C292" s="20"/>
      <c r="D292" s="20"/>
      <c r="E292" s="20"/>
      <c r="F292" s="6"/>
      <c r="G292" s="6"/>
      <c r="H292" s="6"/>
      <c r="I292" s="6"/>
      <c r="J292" s="6"/>
      <c r="K292" s="6"/>
      <c r="L292" s="6"/>
      <c r="M292" s="6"/>
      <c r="N292" s="6"/>
      <c r="O292" s="6"/>
      <c r="P292" s="6"/>
      <c r="Q292" s="6"/>
      <c r="R292" s="6"/>
      <c r="S292" s="6"/>
      <c r="T292" s="6"/>
      <c r="U292" s="6"/>
      <c r="V292" s="6"/>
      <c r="W292" s="6"/>
      <c r="X292" s="6"/>
      <c r="Y292" s="6"/>
      <c r="Z292" s="6"/>
    </row>
    <row r="293" ht="18.0" customHeight="1">
      <c r="A293" s="287" t="s">
        <v>2019</v>
      </c>
      <c r="B293" s="286" t="s">
        <v>2020</v>
      </c>
      <c r="C293" s="20"/>
      <c r="D293" s="20"/>
      <c r="E293" s="20"/>
      <c r="F293" s="6"/>
      <c r="G293" s="6"/>
      <c r="H293" s="6"/>
      <c r="I293" s="6"/>
      <c r="J293" s="6"/>
      <c r="K293" s="6"/>
      <c r="L293" s="6"/>
      <c r="M293" s="6"/>
      <c r="N293" s="6"/>
      <c r="O293" s="6"/>
      <c r="P293" s="6"/>
      <c r="Q293" s="6"/>
      <c r="R293" s="6"/>
      <c r="S293" s="6"/>
      <c r="T293" s="6"/>
      <c r="U293" s="6"/>
      <c r="V293" s="6"/>
      <c r="W293" s="6"/>
      <c r="X293" s="6"/>
      <c r="Y293" s="6"/>
      <c r="Z293" s="6"/>
    </row>
    <row r="294" ht="18.0" customHeight="1">
      <c r="A294" s="287" t="s">
        <v>885</v>
      </c>
      <c r="B294" s="286" t="s">
        <v>2021</v>
      </c>
      <c r="C294" s="20"/>
      <c r="D294" s="20"/>
      <c r="E294" s="20"/>
      <c r="F294" s="6"/>
      <c r="G294" s="6"/>
      <c r="H294" s="6"/>
      <c r="I294" s="6"/>
      <c r="J294" s="6"/>
      <c r="K294" s="6"/>
      <c r="L294" s="6"/>
      <c r="M294" s="6"/>
      <c r="N294" s="6"/>
      <c r="O294" s="6"/>
      <c r="P294" s="6"/>
      <c r="Q294" s="6"/>
      <c r="R294" s="6"/>
      <c r="S294" s="6"/>
      <c r="T294" s="6"/>
      <c r="U294" s="6"/>
      <c r="V294" s="6"/>
      <c r="W294" s="6"/>
      <c r="X294" s="6"/>
      <c r="Y294" s="6"/>
      <c r="Z294" s="6"/>
    </row>
    <row r="295" ht="18.0" customHeight="1">
      <c r="A295" s="287" t="s">
        <v>888</v>
      </c>
      <c r="B295" s="286" t="s">
        <v>2022</v>
      </c>
      <c r="C295" s="20"/>
      <c r="D295" s="20"/>
      <c r="E295" s="20"/>
      <c r="F295" s="6"/>
      <c r="G295" s="6"/>
      <c r="H295" s="6"/>
      <c r="I295" s="6"/>
      <c r="J295" s="6"/>
      <c r="K295" s="6"/>
      <c r="L295" s="6"/>
      <c r="M295" s="6"/>
      <c r="N295" s="6"/>
      <c r="O295" s="6"/>
      <c r="P295" s="6"/>
      <c r="Q295" s="6"/>
      <c r="R295" s="6"/>
      <c r="S295" s="6"/>
      <c r="T295" s="6"/>
      <c r="U295" s="6"/>
      <c r="V295" s="6"/>
      <c r="W295" s="6"/>
      <c r="X295" s="6"/>
      <c r="Y295" s="6"/>
      <c r="Z295" s="6"/>
    </row>
    <row r="296" ht="18.0" customHeight="1">
      <c r="A296" s="287" t="s">
        <v>2023</v>
      </c>
      <c r="B296" s="286" t="s">
        <v>2024</v>
      </c>
      <c r="C296" s="20"/>
      <c r="D296" s="20"/>
      <c r="E296" s="20"/>
      <c r="F296" s="6"/>
      <c r="G296" s="6"/>
      <c r="H296" s="6"/>
      <c r="I296" s="6"/>
      <c r="J296" s="6"/>
      <c r="K296" s="6"/>
      <c r="L296" s="6"/>
      <c r="M296" s="6"/>
      <c r="N296" s="6"/>
      <c r="O296" s="6"/>
      <c r="P296" s="6"/>
      <c r="Q296" s="6"/>
      <c r="R296" s="6"/>
      <c r="S296" s="6"/>
      <c r="T296" s="6"/>
      <c r="U296" s="6"/>
      <c r="V296" s="6"/>
      <c r="W296" s="6"/>
      <c r="X296" s="6"/>
      <c r="Y296" s="6"/>
      <c r="Z296" s="6"/>
    </row>
    <row r="297" ht="18.0" customHeight="1">
      <c r="A297" s="287" t="s">
        <v>1130</v>
      </c>
      <c r="B297" s="286" t="s">
        <v>2025</v>
      </c>
      <c r="C297" s="20"/>
      <c r="D297" s="20"/>
      <c r="E297" s="20"/>
      <c r="F297" s="6"/>
      <c r="G297" s="6"/>
      <c r="H297" s="6"/>
      <c r="I297" s="6"/>
      <c r="J297" s="6"/>
      <c r="K297" s="6"/>
      <c r="L297" s="6"/>
      <c r="M297" s="6"/>
      <c r="N297" s="6"/>
      <c r="O297" s="6"/>
      <c r="P297" s="6"/>
      <c r="Q297" s="6"/>
      <c r="R297" s="6"/>
      <c r="S297" s="6"/>
      <c r="T297" s="6"/>
      <c r="U297" s="6"/>
      <c r="V297" s="6"/>
      <c r="W297" s="6"/>
      <c r="X297" s="6"/>
      <c r="Y297" s="6"/>
      <c r="Z297" s="6"/>
    </row>
    <row r="298" ht="18.0" customHeight="1">
      <c r="A298" s="287" t="s">
        <v>895</v>
      </c>
      <c r="B298" s="286" t="s">
        <v>2026</v>
      </c>
      <c r="C298" s="20"/>
      <c r="D298" s="20"/>
      <c r="E298" s="20"/>
      <c r="F298" s="6"/>
      <c r="G298" s="6"/>
      <c r="H298" s="6"/>
      <c r="I298" s="6"/>
      <c r="J298" s="6"/>
      <c r="K298" s="6"/>
      <c r="L298" s="6"/>
      <c r="M298" s="6"/>
      <c r="N298" s="6"/>
      <c r="O298" s="6"/>
      <c r="P298" s="6"/>
      <c r="Q298" s="6"/>
      <c r="R298" s="6"/>
      <c r="S298" s="6"/>
      <c r="T298" s="6"/>
      <c r="U298" s="6"/>
      <c r="V298" s="6"/>
      <c r="W298" s="6"/>
      <c r="X298" s="6"/>
      <c r="Y298" s="6"/>
      <c r="Z298" s="6"/>
    </row>
    <row r="299" ht="18.0" customHeight="1">
      <c r="A299" s="287" t="s">
        <v>2027</v>
      </c>
      <c r="B299" s="286" t="s">
        <v>2028</v>
      </c>
      <c r="C299" s="20"/>
      <c r="D299" s="20"/>
      <c r="E299" s="20"/>
      <c r="F299" s="6"/>
      <c r="G299" s="6"/>
      <c r="H299" s="6"/>
      <c r="I299" s="6"/>
      <c r="J299" s="6"/>
      <c r="K299" s="6"/>
      <c r="L299" s="6"/>
      <c r="M299" s="6"/>
      <c r="N299" s="6"/>
      <c r="O299" s="6"/>
      <c r="P299" s="6"/>
      <c r="Q299" s="6"/>
      <c r="R299" s="6"/>
      <c r="S299" s="6"/>
      <c r="T299" s="6"/>
      <c r="U299" s="6"/>
      <c r="V299" s="6"/>
      <c r="W299" s="6"/>
      <c r="X299" s="6"/>
      <c r="Y299" s="6"/>
      <c r="Z299" s="6"/>
    </row>
    <row r="300" ht="18.0" customHeight="1">
      <c r="A300" s="287" t="s">
        <v>2029</v>
      </c>
      <c r="B300" s="286" t="s">
        <v>2030</v>
      </c>
      <c r="C300" s="20"/>
      <c r="D300" s="20"/>
      <c r="E300" s="20"/>
      <c r="F300" s="6"/>
      <c r="G300" s="6"/>
      <c r="H300" s="6"/>
      <c r="I300" s="6"/>
      <c r="J300" s="6"/>
      <c r="K300" s="6"/>
      <c r="L300" s="6"/>
      <c r="M300" s="6"/>
      <c r="N300" s="6"/>
      <c r="O300" s="6"/>
      <c r="P300" s="6"/>
      <c r="Q300" s="6"/>
      <c r="R300" s="6"/>
      <c r="S300" s="6"/>
      <c r="T300" s="6"/>
      <c r="U300" s="6"/>
      <c r="V300" s="6"/>
      <c r="W300" s="6"/>
      <c r="X300" s="6"/>
      <c r="Y300" s="6"/>
      <c r="Z300" s="6"/>
    </row>
    <row r="301" ht="18.0" customHeight="1">
      <c r="A301" s="287" t="s">
        <v>1005</v>
      </c>
      <c r="B301" s="286" t="s">
        <v>2031</v>
      </c>
      <c r="C301" s="20"/>
      <c r="D301" s="20"/>
      <c r="E301" s="20"/>
      <c r="F301" s="6"/>
      <c r="G301" s="6"/>
      <c r="H301" s="6"/>
      <c r="I301" s="6"/>
      <c r="J301" s="6"/>
      <c r="K301" s="6"/>
      <c r="L301" s="6"/>
      <c r="M301" s="6"/>
      <c r="N301" s="6"/>
      <c r="O301" s="6"/>
      <c r="P301" s="6"/>
      <c r="Q301" s="6"/>
      <c r="R301" s="6"/>
      <c r="S301" s="6"/>
      <c r="T301" s="6"/>
      <c r="U301" s="6"/>
      <c r="V301" s="6"/>
      <c r="W301" s="6"/>
      <c r="X301" s="6"/>
      <c r="Y301" s="6"/>
      <c r="Z301" s="6"/>
    </row>
    <row r="302" ht="18.0" customHeight="1">
      <c r="A302" s="287" t="s">
        <v>2032</v>
      </c>
      <c r="B302" s="286" t="s">
        <v>2033</v>
      </c>
      <c r="C302" s="20"/>
      <c r="D302" s="20"/>
      <c r="E302" s="20"/>
      <c r="F302" s="6"/>
      <c r="G302" s="6"/>
      <c r="H302" s="6"/>
      <c r="I302" s="6"/>
      <c r="J302" s="6"/>
      <c r="K302" s="6"/>
      <c r="L302" s="6"/>
      <c r="M302" s="6"/>
      <c r="N302" s="6"/>
      <c r="O302" s="6"/>
      <c r="P302" s="6"/>
      <c r="Q302" s="6"/>
      <c r="R302" s="6"/>
      <c r="S302" s="6"/>
      <c r="T302" s="6"/>
      <c r="U302" s="6"/>
      <c r="V302" s="6"/>
      <c r="W302" s="6"/>
      <c r="X302" s="6"/>
      <c r="Y302" s="6"/>
      <c r="Z302" s="6"/>
    </row>
    <row r="303" ht="18.0" customHeight="1">
      <c r="A303" s="287" t="s">
        <v>2034</v>
      </c>
      <c r="B303" s="286" t="s">
        <v>2035</v>
      </c>
      <c r="C303" s="20"/>
      <c r="D303" s="20"/>
      <c r="E303" s="20"/>
      <c r="F303" s="6"/>
      <c r="G303" s="6"/>
      <c r="H303" s="6"/>
      <c r="I303" s="6"/>
      <c r="J303" s="6"/>
      <c r="K303" s="6"/>
      <c r="L303" s="6"/>
      <c r="M303" s="6"/>
      <c r="N303" s="6"/>
      <c r="O303" s="6"/>
      <c r="P303" s="6"/>
      <c r="Q303" s="6"/>
      <c r="R303" s="6"/>
      <c r="S303" s="6"/>
      <c r="T303" s="6"/>
      <c r="U303" s="6"/>
      <c r="V303" s="6"/>
      <c r="W303" s="6"/>
      <c r="X303" s="6"/>
      <c r="Y303" s="6"/>
      <c r="Z303" s="6"/>
    </row>
    <row r="304" ht="18.0" customHeight="1">
      <c r="A304" s="287" t="s">
        <v>2036</v>
      </c>
      <c r="B304" s="286" t="s">
        <v>2037</v>
      </c>
      <c r="C304" s="20"/>
      <c r="D304" s="20"/>
      <c r="E304" s="20"/>
      <c r="F304" s="6"/>
      <c r="G304" s="6"/>
      <c r="H304" s="6"/>
      <c r="I304" s="6"/>
      <c r="J304" s="6"/>
      <c r="K304" s="6"/>
      <c r="L304" s="6"/>
      <c r="M304" s="6"/>
      <c r="N304" s="6"/>
      <c r="O304" s="6"/>
      <c r="P304" s="6"/>
      <c r="Q304" s="6"/>
      <c r="R304" s="6"/>
      <c r="S304" s="6"/>
      <c r="T304" s="6"/>
      <c r="U304" s="6"/>
      <c r="V304" s="6"/>
      <c r="W304" s="6"/>
      <c r="X304" s="6"/>
      <c r="Y304" s="6"/>
      <c r="Z304" s="6"/>
    </row>
    <row r="305" ht="18.0" customHeight="1">
      <c r="A305" s="287" t="s">
        <v>2038</v>
      </c>
      <c r="B305" s="286" t="s">
        <v>2039</v>
      </c>
      <c r="C305" s="20"/>
      <c r="D305" s="20"/>
      <c r="E305" s="20"/>
      <c r="F305" s="6"/>
      <c r="G305" s="6"/>
      <c r="H305" s="6"/>
      <c r="I305" s="6"/>
      <c r="J305" s="6"/>
      <c r="K305" s="6"/>
      <c r="L305" s="6"/>
      <c r="M305" s="6"/>
      <c r="N305" s="6"/>
      <c r="O305" s="6"/>
      <c r="P305" s="6"/>
      <c r="Q305" s="6"/>
      <c r="R305" s="6"/>
      <c r="S305" s="6"/>
      <c r="T305" s="6"/>
      <c r="U305" s="6"/>
      <c r="V305" s="6"/>
      <c r="W305" s="6"/>
      <c r="X305" s="6"/>
      <c r="Y305" s="6"/>
      <c r="Z305" s="6"/>
    </row>
    <row r="306" ht="18.0" customHeight="1">
      <c r="A306" s="287" t="s">
        <v>2040</v>
      </c>
      <c r="B306" s="286" t="s">
        <v>2041</v>
      </c>
      <c r="C306" s="20"/>
      <c r="D306" s="20"/>
      <c r="E306" s="20"/>
      <c r="F306" s="6"/>
      <c r="G306" s="6"/>
      <c r="H306" s="6"/>
      <c r="I306" s="6"/>
      <c r="J306" s="6"/>
      <c r="K306" s="6"/>
      <c r="L306" s="6"/>
      <c r="M306" s="6"/>
      <c r="N306" s="6"/>
      <c r="O306" s="6"/>
      <c r="P306" s="6"/>
      <c r="Q306" s="6"/>
      <c r="R306" s="6"/>
      <c r="S306" s="6"/>
      <c r="T306" s="6"/>
      <c r="U306" s="6"/>
      <c r="V306" s="6"/>
      <c r="W306" s="6"/>
      <c r="X306" s="6"/>
      <c r="Y306" s="6"/>
      <c r="Z306" s="6"/>
    </row>
    <row r="307" ht="18.0" customHeight="1">
      <c r="A307" s="287" t="s">
        <v>2042</v>
      </c>
      <c r="B307" s="286" t="s">
        <v>2043</v>
      </c>
      <c r="C307" s="20"/>
      <c r="D307" s="20"/>
      <c r="E307" s="20"/>
      <c r="F307" s="6"/>
      <c r="G307" s="6"/>
      <c r="H307" s="6"/>
      <c r="I307" s="6"/>
      <c r="J307" s="6"/>
      <c r="K307" s="6"/>
      <c r="L307" s="6"/>
      <c r="M307" s="6"/>
      <c r="N307" s="6"/>
      <c r="O307" s="6"/>
      <c r="P307" s="6"/>
      <c r="Q307" s="6"/>
      <c r="R307" s="6"/>
      <c r="S307" s="6"/>
      <c r="T307" s="6"/>
      <c r="U307" s="6"/>
      <c r="V307" s="6"/>
      <c r="W307" s="6"/>
      <c r="X307" s="6"/>
      <c r="Y307" s="6"/>
      <c r="Z307" s="6"/>
    </row>
    <row r="308" ht="18.0" customHeight="1">
      <c r="A308" s="287" t="s">
        <v>2044</v>
      </c>
      <c r="B308" s="286" t="s">
        <v>2045</v>
      </c>
      <c r="C308" s="20"/>
      <c r="D308" s="20"/>
      <c r="E308" s="20"/>
      <c r="F308" s="6"/>
      <c r="G308" s="6"/>
      <c r="H308" s="6"/>
      <c r="I308" s="6"/>
      <c r="J308" s="6"/>
      <c r="K308" s="6"/>
      <c r="L308" s="6"/>
      <c r="M308" s="6"/>
      <c r="N308" s="6"/>
      <c r="O308" s="6"/>
      <c r="P308" s="6"/>
      <c r="Q308" s="6"/>
      <c r="R308" s="6"/>
      <c r="S308" s="6"/>
      <c r="T308" s="6"/>
      <c r="U308" s="6"/>
      <c r="V308" s="6"/>
      <c r="W308" s="6"/>
      <c r="X308" s="6"/>
      <c r="Y308" s="6"/>
      <c r="Z308" s="6"/>
    </row>
    <row r="309" ht="18.0" customHeight="1">
      <c r="A309" s="287" t="s">
        <v>958</v>
      </c>
      <c r="B309" s="286" t="s">
        <v>2046</v>
      </c>
      <c r="C309" s="20"/>
      <c r="D309" s="20"/>
      <c r="E309" s="20"/>
      <c r="F309" s="6"/>
      <c r="G309" s="6"/>
      <c r="H309" s="6"/>
      <c r="I309" s="6"/>
      <c r="J309" s="6"/>
      <c r="K309" s="6"/>
      <c r="L309" s="6"/>
      <c r="M309" s="6"/>
      <c r="N309" s="6"/>
      <c r="O309" s="6"/>
      <c r="P309" s="6"/>
      <c r="Q309" s="6"/>
      <c r="R309" s="6"/>
      <c r="S309" s="6"/>
      <c r="T309" s="6"/>
      <c r="U309" s="6"/>
      <c r="V309" s="6"/>
      <c r="W309" s="6"/>
      <c r="X309" s="6"/>
      <c r="Y309" s="6"/>
      <c r="Z309" s="6"/>
    </row>
    <row r="310" ht="18.0" customHeight="1">
      <c r="A310" s="287" t="s">
        <v>836</v>
      </c>
      <c r="B310" s="286" t="s">
        <v>2047</v>
      </c>
      <c r="C310" s="20"/>
      <c r="D310" s="20"/>
      <c r="E310" s="20"/>
      <c r="F310" s="6"/>
      <c r="G310" s="6"/>
      <c r="H310" s="6"/>
      <c r="I310" s="6"/>
      <c r="J310" s="6"/>
      <c r="K310" s="6"/>
      <c r="L310" s="6"/>
      <c r="M310" s="6"/>
      <c r="N310" s="6"/>
      <c r="O310" s="6"/>
      <c r="P310" s="6"/>
      <c r="Q310" s="6"/>
      <c r="R310" s="6"/>
      <c r="S310" s="6"/>
      <c r="T310" s="6"/>
      <c r="U310" s="6"/>
      <c r="V310" s="6"/>
      <c r="W310" s="6"/>
      <c r="X310" s="6"/>
      <c r="Y310" s="6"/>
      <c r="Z310" s="6"/>
    </row>
    <row r="311" ht="18.0" customHeight="1">
      <c r="A311" s="287" t="s">
        <v>2048</v>
      </c>
      <c r="B311" s="286" t="s">
        <v>2049</v>
      </c>
      <c r="C311" s="20"/>
      <c r="D311" s="20"/>
      <c r="E311" s="20"/>
      <c r="F311" s="6"/>
      <c r="G311" s="6"/>
      <c r="H311" s="6"/>
      <c r="I311" s="6"/>
      <c r="J311" s="6"/>
      <c r="K311" s="6"/>
      <c r="L311" s="6"/>
      <c r="M311" s="6"/>
      <c r="N311" s="6"/>
      <c r="O311" s="6"/>
      <c r="P311" s="6"/>
      <c r="Q311" s="6"/>
      <c r="R311" s="6"/>
      <c r="S311" s="6"/>
      <c r="T311" s="6"/>
      <c r="U311" s="6"/>
      <c r="V311" s="6"/>
      <c r="W311" s="6"/>
      <c r="X311" s="6"/>
      <c r="Y311" s="6"/>
      <c r="Z311" s="6"/>
    </row>
    <row r="312" ht="18.0" customHeight="1">
      <c r="A312" s="287" t="s">
        <v>2050</v>
      </c>
      <c r="B312" s="286" t="s">
        <v>2051</v>
      </c>
      <c r="C312" s="20"/>
      <c r="D312" s="20"/>
      <c r="E312" s="20"/>
      <c r="F312" s="6"/>
      <c r="G312" s="6"/>
      <c r="H312" s="6"/>
      <c r="I312" s="6"/>
      <c r="J312" s="6"/>
      <c r="K312" s="6"/>
      <c r="L312" s="6"/>
      <c r="M312" s="6"/>
      <c r="N312" s="6"/>
      <c r="O312" s="6"/>
      <c r="P312" s="6"/>
      <c r="Q312" s="6"/>
      <c r="R312" s="6"/>
      <c r="S312" s="6"/>
      <c r="T312" s="6"/>
      <c r="U312" s="6"/>
      <c r="V312" s="6"/>
      <c r="W312" s="6"/>
      <c r="X312" s="6"/>
      <c r="Y312" s="6"/>
      <c r="Z312" s="6"/>
    </row>
    <row r="313" ht="18.0" customHeight="1">
      <c r="A313" s="287" t="s">
        <v>2052</v>
      </c>
      <c r="B313" s="286" t="s">
        <v>2053</v>
      </c>
      <c r="C313" s="20"/>
      <c r="D313" s="20"/>
      <c r="E313" s="20"/>
      <c r="F313" s="6"/>
      <c r="G313" s="6"/>
      <c r="H313" s="6"/>
      <c r="I313" s="6"/>
      <c r="J313" s="6"/>
      <c r="K313" s="6"/>
      <c r="L313" s="6"/>
      <c r="M313" s="6"/>
      <c r="N313" s="6"/>
      <c r="O313" s="6"/>
      <c r="P313" s="6"/>
      <c r="Q313" s="6"/>
      <c r="R313" s="6"/>
      <c r="S313" s="6"/>
      <c r="T313" s="6"/>
      <c r="U313" s="6"/>
      <c r="V313" s="6"/>
      <c r="W313" s="6"/>
      <c r="X313" s="6"/>
      <c r="Y313" s="6"/>
      <c r="Z313" s="6"/>
    </row>
    <row r="314" ht="18.0" customHeight="1">
      <c r="A314" s="287" t="s">
        <v>2054</v>
      </c>
      <c r="B314" s="286" t="s">
        <v>2055</v>
      </c>
      <c r="C314" s="20"/>
      <c r="D314" s="20"/>
      <c r="E314" s="20"/>
      <c r="F314" s="6"/>
      <c r="G314" s="6"/>
      <c r="H314" s="6"/>
      <c r="I314" s="6"/>
      <c r="J314" s="6"/>
      <c r="K314" s="6"/>
      <c r="L314" s="6"/>
      <c r="M314" s="6"/>
      <c r="N314" s="6"/>
      <c r="O314" s="6"/>
      <c r="P314" s="6"/>
      <c r="Q314" s="6"/>
      <c r="R314" s="6"/>
      <c r="S314" s="6"/>
      <c r="T314" s="6"/>
      <c r="U314" s="6"/>
      <c r="V314" s="6"/>
      <c r="W314" s="6"/>
      <c r="X314" s="6"/>
      <c r="Y314" s="6"/>
      <c r="Z314" s="6"/>
    </row>
    <row r="315" ht="18.0" customHeight="1">
      <c r="A315" s="287" t="s">
        <v>2056</v>
      </c>
      <c r="B315" s="286" t="s">
        <v>2057</v>
      </c>
      <c r="C315" s="20"/>
      <c r="D315" s="20"/>
      <c r="E315" s="20"/>
      <c r="F315" s="6"/>
      <c r="G315" s="6"/>
      <c r="H315" s="6"/>
      <c r="I315" s="6"/>
      <c r="J315" s="6"/>
      <c r="K315" s="6"/>
      <c r="L315" s="6"/>
      <c r="M315" s="6"/>
      <c r="N315" s="6"/>
      <c r="O315" s="6"/>
      <c r="P315" s="6"/>
      <c r="Q315" s="6"/>
      <c r="R315" s="6"/>
      <c r="S315" s="6"/>
      <c r="T315" s="6"/>
      <c r="U315" s="6"/>
      <c r="V315" s="6"/>
      <c r="W315" s="6"/>
      <c r="X315" s="6"/>
      <c r="Y315" s="6"/>
      <c r="Z315" s="6"/>
    </row>
    <row r="316" ht="18.0" customHeight="1">
      <c r="A316" s="287" t="s">
        <v>2058</v>
      </c>
      <c r="B316" s="286" t="s">
        <v>2059</v>
      </c>
      <c r="C316" s="20"/>
      <c r="D316" s="20"/>
      <c r="E316" s="20"/>
      <c r="F316" s="6"/>
      <c r="G316" s="6"/>
      <c r="H316" s="6"/>
      <c r="I316" s="6"/>
      <c r="J316" s="6"/>
      <c r="K316" s="6"/>
      <c r="L316" s="6"/>
      <c r="M316" s="6"/>
      <c r="N316" s="6"/>
      <c r="O316" s="6"/>
      <c r="P316" s="6"/>
      <c r="Q316" s="6"/>
      <c r="R316" s="6"/>
      <c r="S316" s="6"/>
      <c r="T316" s="6"/>
      <c r="U316" s="6"/>
      <c r="V316" s="6"/>
      <c r="W316" s="6"/>
      <c r="X316" s="6"/>
      <c r="Y316" s="6"/>
      <c r="Z316" s="6"/>
    </row>
    <row r="317" ht="18.0" customHeight="1">
      <c r="A317" s="287" t="s">
        <v>964</v>
      </c>
      <c r="B317" s="286" t="s">
        <v>2060</v>
      </c>
      <c r="C317" s="20"/>
      <c r="D317" s="20"/>
      <c r="E317" s="20"/>
      <c r="F317" s="6"/>
      <c r="G317" s="6"/>
      <c r="H317" s="6"/>
      <c r="I317" s="6"/>
      <c r="J317" s="6"/>
      <c r="K317" s="6"/>
      <c r="L317" s="6"/>
      <c r="M317" s="6"/>
      <c r="N317" s="6"/>
      <c r="O317" s="6"/>
      <c r="P317" s="6"/>
      <c r="Q317" s="6"/>
      <c r="R317" s="6"/>
      <c r="S317" s="6"/>
      <c r="T317" s="6"/>
      <c r="U317" s="6"/>
      <c r="V317" s="6"/>
      <c r="W317" s="6"/>
      <c r="X317" s="6"/>
      <c r="Y317" s="6"/>
      <c r="Z317" s="6"/>
    </row>
    <row r="318" ht="18.0" customHeight="1">
      <c r="A318" s="287" t="s">
        <v>1077</v>
      </c>
      <c r="B318" s="286" t="s">
        <v>2061</v>
      </c>
      <c r="C318" s="20"/>
      <c r="D318" s="20"/>
      <c r="E318" s="20"/>
      <c r="F318" s="6"/>
      <c r="G318" s="6"/>
      <c r="H318" s="6"/>
      <c r="I318" s="6"/>
      <c r="J318" s="6"/>
      <c r="K318" s="6"/>
      <c r="L318" s="6"/>
      <c r="M318" s="6"/>
      <c r="N318" s="6"/>
      <c r="O318" s="6"/>
      <c r="P318" s="6"/>
      <c r="Q318" s="6"/>
      <c r="R318" s="6"/>
      <c r="S318" s="6"/>
      <c r="T318" s="6"/>
      <c r="U318" s="6"/>
      <c r="V318" s="6"/>
      <c r="W318" s="6"/>
      <c r="X318" s="6"/>
      <c r="Y318" s="6"/>
      <c r="Z318" s="6"/>
    </row>
    <row r="319" ht="18.0" customHeight="1">
      <c r="A319" s="287" t="s">
        <v>2062</v>
      </c>
      <c r="B319" s="286" t="s">
        <v>2063</v>
      </c>
      <c r="C319" s="20"/>
      <c r="D319" s="20"/>
      <c r="E319" s="20"/>
      <c r="F319" s="6"/>
      <c r="G319" s="6"/>
      <c r="H319" s="6"/>
      <c r="I319" s="6"/>
      <c r="J319" s="6"/>
      <c r="K319" s="6"/>
      <c r="L319" s="6"/>
      <c r="M319" s="6"/>
      <c r="N319" s="6"/>
      <c r="O319" s="6"/>
      <c r="P319" s="6"/>
      <c r="Q319" s="6"/>
      <c r="R319" s="6"/>
      <c r="S319" s="6"/>
      <c r="T319" s="6"/>
      <c r="U319" s="6"/>
      <c r="V319" s="6"/>
      <c r="W319" s="6"/>
      <c r="X319" s="6"/>
      <c r="Y319" s="6"/>
      <c r="Z319" s="6"/>
    </row>
    <row r="320" ht="18.0" customHeight="1">
      <c r="A320" s="287" t="s">
        <v>2064</v>
      </c>
      <c r="B320" s="286" t="s">
        <v>2065</v>
      </c>
      <c r="C320" s="20"/>
      <c r="D320" s="20"/>
      <c r="E320" s="20"/>
      <c r="F320" s="6"/>
      <c r="G320" s="6"/>
      <c r="H320" s="6"/>
      <c r="I320" s="6"/>
      <c r="J320" s="6"/>
      <c r="K320" s="6"/>
      <c r="L320" s="6"/>
      <c r="M320" s="6"/>
      <c r="N320" s="6"/>
      <c r="O320" s="6"/>
      <c r="P320" s="6"/>
      <c r="Q320" s="6"/>
      <c r="R320" s="6"/>
      <c r="S320" s="6"/>
      <c r="T320" s="6"/>
      <c r="U320" s="6"/>
      <c r="V320" s="6"/>
      <c r="W320" s="6"/>
      <c r="X320" s="6"/>
      <c r="Y320" s="6"/>
      <c r="Z320" s="6"/>
    </row>
    <row r="321" ht="18.0" customHeight="1">
      <c r="A321" s="287" t="s">
        <v>1041</v>
      </c>
      <c r="B321" s="286" t="s">
        <v>2066</v>
      </c>
      <c r="C321" s="20"/>
      <c r="D321" s="20"/>
      <c r="E321" s="20"/>
      <c r="F321" s="6"/>
      <c r="G321" s="6"/>
      <c r="H321" s="6"/>
      <c r="I321" s="6"/>
      <c r="J321" s="6"/>
      <c r="K321" s="6"/>
      <c r="L321" s="6"/>
      <c r="M321" s="6"/>
      <c r="N321" s="6"/>
      <c r="O321" s="6"/>
      <c r="P321" s="6"/>
      <c r="Q321" s="6"/>
      <c r="R321" s="6"/>
      <c r="S321" s="6"/>
      <c r="T321" s="6"/>
      <c r="U321" s="6"/>
      <c r="V321" s="6"/>
      <c r="W321" s="6"/>
      <c r="X321" s="6"/>
      <c r="Y321" s="6"/>
      <c r="Z321" s="6"/>
    </row>
    <row r="322" ht="18.0" customHeight="1">
      <c r="A322" s="287" t="s">
        <v>2067</v>
      </c>
      <c r="B322" s="286" t="s">
        <v>2068</v>
      </c>
      <c r="C322" s="20"/>
      <c r="D322" s="20"/>
      <c r="E322" s="20"/>
      <c r="F322" s="6"/>
      <c r="G322" s="6"/>
      <c r="H322" s="6"/>
      <c r="I322" s="6"/>
      <c r="J322" s="6"/>
      <c r="K322" s="6"/>
      <c r="L322" s="6"/>
      <c r="M322" s="6"/>
      <c r="N322" s="6"/>
      <c r="O322" s="6"/>
      <c r="P322" s="6"/>
      <c r="Q322" s="6"/>
      <c r="R322" s="6"/>
      <c r="S322" s="6"/>
      <c r="T322" s="6"/>
      <c r="U322" s="6"/>
      <c r="V322" s="6"/>
      <c r="W322" s="6"/>
      <c r="X322" s="6"/>
      <c r="Y322" s="6"/>
      <c r="Z322" s="6"/>
    </row>
    <row r="323" ht="18.0" customHeight="1">
      <c r="A323" s="287" t="s">
        <v>2069</v>
      </c>
      <c r="B323" s="286" t="s">
        <v>2070</v>
      </c>
      <c r="C323" s="20"/>
      <c r="D323" s="20"/>
      <c r="E323" s="20"/>
      <c r="F323" s="6"/>
      <c r="G323" s="6"/>
      <c r="H323" s="6"/>
      <c r="I323" s="6"/>
      <c r="J323" s="6"/>
      <c r="K323" s="6"/>
      <c r="L323" s="6"/>
      <c r="M323" s="6"/>
      <c r="N323" s="6"/>
      <c r="O323" s="6"/>
      <c r="P323" s="6"/>
      <c r="Q323" s="6"/>
      <c r="R323" s="6"/>
      <c r="S323" s="6"/>
      <c r="T323" s="6"/>
      <c r="U323" s="6"/>
      <c r="V323" s="6"/>
      <c r="W323" s="6"/>
      <c r="X323" s="6"/>
      <c r="Y323" s="6"/>
      <c r="Z323" s="6"/>
    </row>
    <row r="324" ht="18.0" customHeight="1">
      <c r="A324" s="287" t="s">
        <v>2071</v>
      </c>
      <c r="B324" s="286" t="s">
        <v>2072</v>
      </c>
      <c r="C324" s="20"/>
      <c r="D324" s="20"/>
      <c r="E324" s="20"/>
      <c r="F324" s="6"/>
      <c r="G324" s="6"/>
      <c r="H324" s="6"/>
      <c r="I324" s="6"/>
      <c r="J324" s="6"/>
      <c r="K324" s="6"/>
      <c r="L324" s="6"/>
      <c r="M324" s="6"/>
      <c r="N324" s="6"/>
      <c r="O324" s="6"/>
      <c r="P324" s="6"/>
      <c r="Q324" s="6"/>
      <c r="R324" s="6"/>
      <c r="S324" s="6"/>
      <c r="T324" s="6"/>
      <c r="U324" s="6"/>
      <c r="V324" s="6"/>
      <c r="W324" s="6"/>
      <c r="X324" s="6"/>
      <c r="Y324" s="6"/>
      <c r="Z324" s="6"/>
    </row>
    <row r="325" ht="18.0" customHeight="1">
      <c r="A325" s="287" t="s">
        <v>2073</v>
      </c>
      <c r="B325" s="286" t="s">
        <v>2074</v>
      </c>
      <c r="C325" s="20"/>
      <c r="D325" s="20"/>
      <c r="E325" s="20"/>
      <c r="F325" s="6"/>
      <c r="G325" s="6"/>
      <c r="H325" s="6"/>
      <c r="I325" s="6"/>
      <c r="J325" s="6"/>
      <c r="K325" s="6"/>
      <c r="L325" s="6"/>
      <c r="M325" s="6"/>
      <c r="N325" s="6"/>
      <c r="O325" s="6"/>
      <c r="P325" s="6"/>
      <c r="Q325" s="6"/>
      <c r="R325" s="6"/>
      <c r="S325" s="6"/>
      <c r="T325" s="6"/>
      <c r="U325" s="6"/>
      <c r="V325" s="6"/>
      <c r="W325" s="6"/>
      <c r="X325" s="6"/>
      <c r="Y325" s="6"/>
      <c r="Z325" s="6"/>
    </row>
    <row r="326" ht="18.0" customHeight="1">
      <c r="A326" s="287" t="s">
        <v>2075</v>
      </c>
      <c r="B326" s="286" t="s">
        <v>2076</v>
      </c>
      <c r="C326" s="20"/>
      <c r="D326" s="20"/>
      <c r="E326" s="20"/>
      <c r="F326" s="6"/>
      <c r="G326" s="6"/>
      <c r="H326" s="6"/>
      <c r="I326" s="6"/>
      <c r="J326" s="6"/>
      <c r="K326" s="6"/>
      <c r="L326" s="6"/>
      <c r="M326" s="6"/>
      <c r="N326" s="6"/>
      <c r="O326" s="6"/>
      <c r="P326" s="6"/>
      <c r="Q326" s="6"/>
      <c r="R326" s="6"/>
      <c r="S326" s="6"/>
      <c r="T326" s="6"/>
      <c r="U326" s="6"/>
      <c r="V326" s="6"/>
      <c r="W326" s="6"/>
      <c r="X326" s="6"/>
      <c r="Y326" s="6"/>
      <c r="Z326" s="6"/>
    </row>
    <row r="327" ht="18.0" customHeight="1">
      <c r="A327" s="287" t="s">
        <v>2077</v>
      </c>
      <c r="B327" s="286" t="s">
        <v>2078</v>
      </c>
      <c r="C327" s="20"/>
      <c r="D327" s="20"/>
      <c r="E327" s="20"/>
      <c r="F327" s="6"/>
      <c r="G327" s="6"/>
      <c r="H327" s="6"/>
      <c r="I327" s="6"/>
      <c r="J327" s="6"/>
      <c r="K327" s="6"/>
      <c r="L327" s="6"/>
      <c r="M327" s="6"/>
      <c r="N327" s="6"/>
      <c r="O327" s="6"/>
      <c r="P327" s="6"/>
      <c r="Q327" s="6"/>
      <c r="R327" s="6"/>
      <c r="S327" s="6"/>
      <c r="T327" s="6"/>
      <c r="U327" s="6"/>
      <c r="V327" s="6"/>
      <c r="W327" s="6"/>
      <c r="X327" s="6"/>
      <c r="Y327" s="6"/>
      <c r="Z327" s="6"/>
    </row>
    <row r="328" ht="18.0" customHeight="1">
      <c r="A328" s="287" t="s">
        <v>2079</v>
      </c>
      <c r="B328" s="286" t="s">
        <v>2080</v>
      </c>
      <c r="C328" s="20"/>
      <c r="D328" s="20"/>
      <c r="E328" s="20"/>
      <c r="F328" s="6"/>
      <c r="G328" s="6"/>
      <c r="H328" s="6"/>
      <c r="I328" s="6"/>
      <c r="J328" s="6"/>
      <c r="K328" s="6"/>
      <c r="L328" s="6"/>
      <c r="M328" s="6"/>
      <c r="N328" s="6"/>
      <c r="O328" s="6"/>
      <c r="P328" s="6"/>
      <c r="Q328" s="6"/>
      <c r="R328" s="6"/>
      <c r="S328" s="6"/>
      <c r="T328" s="6"/>
      <c r="U328" s="6"/>
      <c r="V328" s="6"/>
      <c r="W328" s="6"/>
      <c r="X328" s="6"/>
      <c r="Y328" s="6"/>
      <c r="Z328" s="6"/>
    </row>
    <row r="329" ht="18.0" customHeight="1">
      <c r="A329" s="287" t="s">
        <v>2081</v>
      </c>
      <c r="B329" s="286" t="s">
        <v>2082</v>
      </c>
      <c r="C329" s="20"/>
      <c r="D329" s="20"/>
      <c r="E329" s="20"/>
      <c r="F329" s="6"/>
      <c r="G329" s="6"/>
      <c r="H329" s="6"/>
      <c r="I329" s="6"/>
      <c r="J329" s="6"/>
      <c r="K329" s="6"/>
      <c r="L329" s="6"/>
      <c r="M329" s="6"/>
      <c r="N329" s="6"/>
      <c r="O329" s="6"/>
      <c r="P329" s="6"/>
      <c r="Q329" s="6"/>
      <c r="R329" s="6"/>
      <c r="S329" s="6"/>
      <c r="T329" s="6"/>
      <c r="U329" s="6"/>
      <c r="V329" s="6"/>
      <c r="W329" s="6"/>
      <c r="X329" s="6"/>
      <c r="Y329" s="6"/>
      <c r="Z329" s="6"/>
    </row>
    <row r="330" ht="18.0" customHeight="1">
      <c r="A330" s="287" t="s">
        <v>913</v>
      </c>
      <c r="B330" s="286" t="s">
        <v>2083</v>
      </c>
      <c r="C330" s="20"/>
      <c r="D330" s="20"/>
      <c r="E330" s="20"/>
      <c r="F330" s="6"/>
      <c r="G330" s="6"/>
      <c r="H330" s="6"/>
      <c r="I330" s="6"/>
      <c r="J330" s="6"/>
      <c r="K330" s="6"/>
      <c r="L330" s="6"/>
      <c r="M330" s="6"/>
      <c r="N330" s="6"/>
      <c r="O330" s="6"/>
      <c r="P330" s="6"/>
      <c r="Q330" s="6"/>
      <c r="R330" s="6"/>
      <c r="S330" s="6"/>
      <c r="T330" s="6"/>
      <c r="U330" s="6"/>
      <c r="V330" s="6"/>
      <c r="W330" s="6"/>
      <c r="X330" s="6"/>
      <c r="Y330" s="6"/>
      <c r="Z330" s="6"/>
    </row>
    <row r="331" ht="18.0" customHeight="1">
      <c r="A331" s="287" t="s">
        <v>2084</v>
      </c>
      <c r="B331" s="286" t="s">
        <v>2085</v>
      </c>
      <c r="C331" s="20"/>
      <c r="D331" s="20"/>
      <c r="E331" s="20"/>
      <c r="F331" s="6"/>
      <c r="G331" s="6"/>
      <c r="H331" s="6"/>
      <c r="I331" s="6"/>
      <c r="J331" s="6"/>
      <c r="K331" s="6"/>
      <c r="L331" s="6"/>
      <c r="M331" s="6"/>
      <c r="N331" s="6"/>
      <c r="O331" s="6"/>
      <c r="P331" s="6"/>
      <c r="Q331" s="6"/>
      <c r="R331" s="6"/>
      <c r="S331" s="6"/>
      <c r="T331" s="6"/>
      <c r="U331" s="6"/>
      <c r="V331" s="6"/>
      <c r="W331" s="6"/>
      <c r="X331" s="6"/>
      <c r="Y331" s="6"/>
      <c r="Z331" s="6"/>
    </row>
    <row r="332" ht="18.0" customHeight="1">
      <c r="A332" s="287" t="s">
        <v>2086</v>
      </c>
      <c r="B332" s="286" t="s">
        <v>2087</v>
      </c>
      <c r="C332" s="20"/>
      <c r="D332" s="20"/>
      <c r="E332" s="20"/>
      <c r="F332" s="6"/>
      <c r="G332" s="6"/>
      <c r="H332" s="6"/>
      <c r="I332" s="6"/>
      <c r="J332" s="6"/>
      <c r="K332" s="6"/>
      <c r="L332" s="6"/>
      <c r="M332" s="6"/>
      <c r="N332" s="6"/>
      <c r="O332" s="6"/>
      <c r="P332" s="6"/>
      <c r="Q332" s="6"/>
      <c r="R332" s="6"/>
      <c r="S332" s="6"/>
      <c r="T332" s="6"/>
      <c r="U332" s="6"/>
      <c r="V332" s="6"/>
      <c r="W332" s="6"/>
      <c r="X332" s="6"/>
      <c r="Y332" s="6"/>
      <c r="Z332" s="6"/>
    </row>
    <row r="333" ht="18.0" customHeight="1">
      <c r="A333" s="287" t="s">
        <v>2088</v>
      </c>
      <c r="B333" s="286" t="s">
        <v>2089</v>
      </c>
      <c r="C333" s="20"/>
      <c r="D333" s="20"/>
      <c r="E333" s="20"/>
      <c r="F333" s="6"/>
      <c r="G333" s="6"/>
      <c r="H333" s="6"/>
      <c r="I333" s="6"/>
      <c r="J333" s="6"/>
      <c r="K333" s="6"/>
      <c r="L333" s="6"/>
      <c r="M333" s="6"/>
      <c r="N333" s="6"/>
      <c r="O333" s="6"/>
      <c r="P333" s="6"/>
      <c r="Q333" s="6"/>
      <c r="R333" s="6"/>
      <c r="S333" s="6"/>
      <c r="T333" s="6"/>
      <c r="U333" s="6"/>
      <c r="V333" s="6"/>
      <c r="W333" s="6"/>
      <c r="X333" s="6"/>
      <c r="Y333" s="6"/>
      <c r="Z333" s="6"/>
    </row>
    <row r="334" ht="18.0" customHeight="1">
      <c r="A334" s="287" t="s">
        <v>1064</v>
      </c>
      <c r="B334" s="286" t="s">
        <v>2090</v>
      </c>
      <c r="C334" s="20"/>
      <c r="D334" s="20"/>
      <c r="E334" s="20"/>
      <c r="F334" s="6"/>
      <c r="G334" s="6"/>
      <c r="H334" s="6"/>
      <c r="I334" s="6"/>
      <c r="J334" s="6"/>
      <c r="K334" s="6"/>
      <c r="L334" s="6"/>
      <c r="M334" s="6"/>
      <c r="N334" s="6"/>
      <c r="O334" s="6"/>
      <c r="P334" s="6"/>
      <c r="Q334" s="6"/>
      <c r="R334" s="6"/>
      <c r="S334" s="6"/>
      <c r="T334" s="6"/>
      <c r="U334" s="6"/>
      <c r="V334" s="6"/>
      <c r="W334" s="6"/>
      <c r="X334" s="6"/>
      <c r="Y334" s="6"/>
      <c r="Z334" s="6"/>
    </row>
    <row r="335" ht="18.0" customHeight="1">
      <c r="A335" s="287" t="s">
        <v>2091</v>
      </c>
      <c r="B335" s="286" t="s">
        <v>2092</v>
      </c>
      <c r="C335" s="20"/>
      <c r="D335" s="20"/>
      <c r="E335" s="20"/>
      <c r="F335" s="6"/>
      <c r="G335" s="6"/>
      <c r="H335" s="6"/>
      <c r="I335" s="6"/>
      <c r="J335" s="6"/>
      <c r="K335" s="6"/>
      <c r="L335" s="6"/>
      <c r="M335" s="6"/>
      <c r="N335" s="6"/>
      <c r="O335" s="6"/>
      <c r="P335" s="6"/>
      <c r="Q335" s="6"/>
      <c r="R335" s="6"/>
      <c r="S335" s="6"/>
      <c r="T335" s="6"/>
      <c r="U335" s="6"/>
      <c r="V335" s="6"/>
      <c r="W335" s="6"/>
      <c r="X335" s="6"/>
      <c r="Y335" s="6"/>
      <c r="Z335" s="6"/>
    </row>
    <row r="336" ht="18.0" customHeight="1">
      <c r="A336" s="287" t="s">
        <v>2093</v>
      </c>
      <c r="B336" s="286" t="s">
        <v>2094</v>
      </c>
      <c r="C336" s="20"/>
      <c r="D336" s="20"/>
      <c r="E336" s="20"/>
      <c r="F336" s="6"/>
      <c r="G336" s="6"/>
      <c r="H336" s="6"/>
      <c r="I336" s="6"/>
      <c r="J336" s="6"/>
      <c r="K336" s="6"/>
      <c r="L336" s="6"/>
      <c r="M336" s="6"/>
      <c r="N336" s="6"/>
      <c r="O336" s="6"/>
      <c r="P336" s="6"/>
      <c r="Q336" s="6"/>
      <c r="R336" s="6"/>
      <c r="S336" s="6"/>
      <c r="T336" s="6"/>
      <c r="U336" s="6"/>
      <c r="V336" s="6"/>
      <c r="W336" s="6"/>
      <c r="X336" s="6"/>
      <c r="Y336" s="6"/>
      <c r="Z336" s="6"/>
    </row>
    <row r="337" ht="18.0" customHeight="1">
      <c r="A337" s="287" t="s">
        <v>2095</v>
      </c>
      <c r="B337" s="286" t="s">
        <v>2096</v>
      </c>
      <c r="C337" s="20"/>
      <c r="D337" s="20"/>
      <c r="E337" s="20"/>
      <c r="F337" s="6"/>
      <c r="G337" s="6"/>
      <c r="H337" s="6"/>
      <c r="I337" s="6"/>
      <c r="J337" s="6"/>
      <c r="K337" s="6"/>
      <c r="L337" s="6"/>
      <c r="M337" s="6"/>
      <c r="N337" s="6"/>
      <c r="O337" s="6"/>
      <c r="P337" s="6"/>
      <c r="Q337" s="6"/>
      <c r="R337" s="6"/>
      <c r="S337" s="6"/>
      <c r="T337" s="6"/>
      <c r="U337" s="6"/>
      <c r="V337" s="6"/>
      <c r="W337" s="6"/>
      <c r="X337" s="6"/>
      <c r="Y337" s="6"/>
      <c r="Z337" s="6"/>
    </row>
    <row r="338" ht="18.0" customHeight="1">
      <c r="A338" s="287" t="s">
        <v>2097</v>
      </c>
      <c r="B338" s="286" t="s">
        <v>2098</v>
      </c>
      <c r="C338" s="20"/>
      <c r="D338" s="20"/>
      <c r="E338" s="20"/>
      <c r="F338" s="6"/>
      <c r="G338" s="6"/>
      <c r="H338" s="6"/>
      <c r="I338" s="6"/>
      <c r="J338" s="6"/>
      <c r="K338" s="6"/>
      <c r="L338" s="6"/>
      <c r="M338" s="6"/>
      <c r="N338" s="6"/>
      <c r="O338" s="6"/>
      <c r="P338" s="6"/>
      <c r="Q338" s="6"/>
      <c r="R338" s="6"/>
      <c r="S338" s="6"/>
      <c r="T338" s="6"/>
      <c r="U338" s="6"/>
      <c r="V338" s="6"/>
      <c r="W338" s="6"/>
      <c r="X338" s="6"/>
      <c r="Y338" s="6"/>
      <c r="Z338" s="6"/>
    </row>
    <row r="339" ht="18.0" customHeight="1">
      <c r="A339" s="287" t="s">
        <v>2099</v>
      </c>
      <c r="B339" s="286" t="s">
        <v>2100</v>
      </c>
      <c r="C339" s="20"/>
      <c r="D339" s="20"/>
      <c r="E339" s="20"/>
      <c r="F339" s="6"/>
      <c r="G339" s="6"/>
      <c r="H339" s="6"/>
      <c r="I339" s="6"/>
      <c r="J339" s="6"/>
      <c r="K339" s="6"/>
      <c r="L339" s="6"/>
      <c r="M339" s="6"/>
      <c r="N339" s="6"/>
      <c r="O339" s="6"/>
      <c r="P339" s="6"/>
      <c r="Q339" s="6"/>
      <c r="R339" s="6"/>
      <c r="S339" s="6"/>
      <c r="T339" s="6"/>
      <c r="U339" s="6"/>
      <c r="V339" s="6"/>
      <c r="W339" s="6"/>
      <c r="X339" s="6"/>
      <c r="Y339" s="6"/>
      <c r="Z339" s="6"/>
    </row>
    <row r="340" ht="18.0" customHeight="1">
      <c r="A340" s="287" t="s">
        <v>2101</v>
      </c>
      <c r="B340" s="286" t="s">
        <v>2102</v>
      </c>
      <c r="C340" s="20"/>
      <c r="D340" s="20"/>
      <c r="E340" s="20"/>
      <c r="F340" s="6"/>
      <c r="G340" s="6"/>
      <c r="H340" s="6"/>
      <c r="I340" s="6"/>
      <c r="J340" s="6"/>
      <c r="K340" s="6"/>
      <c r="L340" s="6"/>
      <c r="M340" s="6"/>
      <c r="N340" s="6"/>
      <c r="O340" s="6"/>
      <c r="P340" s="6"/>
      <c r="Q340" s="6"/>
      <c r="R340" s="6"/>
      <c r="S340" s="6"/>
      <c r="T340" s="6"/>
      <c r="U340" s="6"/>
      <c r="V340" s="6"/>
      <c r="W340" s="6"/>
      <c r="X340" s="6"/>
      <c r="Y340" s="6"/>
      <c r="Z340" s="6"/>
    </row>
    <row r="341" ht="18.0" customHeight="1">
      <c r="A341" s="287" t="s">
        <v>2103</v>
      </c>
      <c r="B341" s="286" t="s">
        <v>2104</v>
      </c>
      <c r="C341" s="20"/>
      <c r="D341" s="20"/>
      <c r="E341" s="20"/>
      <c r="F341" s="6"/>
      <c r="G341" s="6"/>
      <c r="H341" s="6"/>
      <c r="I341" s="6"/>
      <c r="J341" s="6"/>
      <c r="K341" s="6"/>
      <c r="L341" s="6"/>
      <c r="M341" s="6"/>
      <c r="N341" s="6"/>
      <c r="O341" s="6"/>
      <c r="P341" s="6"/>
      <c r="Q341" s="6"/>
      <c r="R341" s="6"/>
      <c r="S341" s="6"/>
      <c r="T341" s="6"/>
      <c r="U341" s="6"/>
      <c r="V341" s="6"/>
      <c r="W341" s="6"/>
      <c r="X341" s="6"/>
      <c r="Y341" s="6"/>
      <c r="Z341" s="6"/>
    </row>
    <row r="342" ht="18.0" customHeight="1">
      <c r="A342" s="287" t="s">
        <v>969</v>
      </c>
      <c r="B342" s="286" t="s">
        <v>2105</v>
      </c>
      <c r="C342" s="20"/>
      <c r="D342" s="20"/>
      <c r="E342" s="20"/>
      <c r="F342" s="6"/>
      <c r="G342" s="6"/>
      <c r="H342" s="6"/>
      <c r="I342" s="6"/>
      <c r="J342" s="6"/>
      <c r="K342" s="6"/>
      <c r="L342" s="6"/>
      <c r="M342" s="6"/>
      <c r="N342" s="6"/>
      <c r="O342" s="6"/>
      <c r="P342" s="6"/>
      <c r="Q342" s="6"/>
      <c r="R342" s="6"/>
      <c r="S342" s="6"/>
      <c r="T342" s="6"/>
      <c r="U342" s="6"/>
      <c r="V342" s="6"/>
      <c r="W342" s="6"/>
      <c r="X342" s="6"/>
      <c r="Y342" s="6"/>
      <c r="Z342" s="6"/>
    </row>
    <row r="343" ht="18.0" customHeight="1">
      <c r="A343" s="287" t="s">
        <v>2106</v>
      </c>
      <c r="B343" s="286" t="s">
        <v>2107</v>
      </c>
      <c r="C343" s="20"/>
      <c r="D343" s="20"/>
      <c r="E343" s="20"/>
      <c r="F343" s="6"/>
      <c r="G343" s="6"/>
      <c r="H343" s="6"/>
      <c r="I343" s="6"/>
      <c r="J343" s="6"/>
      <c r="K343" s="6"/>
      <c r="L343" s="6"/>
      <c r="M343" s="6"/>
      <c r="N343" s="6"/>
      <c r="O343" s="6"/>
      <c r="P343" s="6"/>
      <c r="Q343" s="6"/>
      <c r="R343" s="6"/>
      <c r="S343" s="6"/>
      <c r="T343" s="6"/>
      <c r="U343" s="6"/>
      <c r="V343" s="6"/>
      <c r="W343" s="6"/>
      <c r="X343" s="6"/>
      <c r="Y343" s="6"/>
      <c r="Z343" s="6"/>
    </row>
    <row r="344" ht="18.0" customHeight="1">
      <c r="A344" s="287" t="s">
        <v>2108</v>
      </c>
      <c r="B344" s="286" t="s">
        <v>2109</v>
      </c>
      <c r="C344" s="20"/>
      <c r="D344" s="20"/>
      <c r="E344" s="20"/>
      <c r="F344" s="6"/>
      <c r="G344" s="6"/>
      <c r="H344" s="6"/>
      <c r="I344" s="6"/>
      <c r="J344" s="6"/>
      <c r="K344" s="6"/>
      <c r="L344" s="6"/>
      <c r="M344" s="6"/>
      <c r="N344" s="6"/>
      <c r="O344" s="6"/>
      <c r="P344" s="6"/>
      <c r="Q344" s="6"/>
      <c r="R344" s="6"/>
      <c r="S344" s="6"/>
      <c r="T344" s="6"/>
      <c r="U344" s="6"/>
      <c r="V344" s="6"/>
      <c r="W344" s="6"/>
      <c r="X344" s="6"/>
      <c r="Y344" s="6"/>
      <c r="Z344" s="6"/>
    </row>
    <row r="345" ht="18.0" customHeight="1">
      <c r="A345" s="287" t="s">
        <v>1100</v>
      </c>
      <c r="B345" s="286" t="s">
        <v>2110</v>
      </c>
      <c r="C345" s="20"/>
      <c r="D345" s="20"/>
      <c r="E345" s="20"/>
      <c r="F345" s="6"/>
      <c r="G345" s="6"/>
      <c r="H345" s="6"/>
      <c r="I345" s="6"/>
      <c r="J345" s="6"/>
      <c r="K345" s="6"/>
      <c r="L345" s="6"/>
      <c r="M345" s="6"/>
      <c r="N345" s="6"/>
      <c r="O345" s="6"/>
      <c r="P345" s="6"/>
      <c r="Q345" s="6"/>
      <c r="R345" s="6"/>
      <c r="S345" s="6"/>
      <c r="T345" s="6"/>
      <c r="U345" s="6"/>
      <c r="V345" s="6"/>
      <c r="W345" s="6"/>
      <c r="X345" s="6"/>
      <c r="Y345" s="6"/>
      <c r="Z345" s="6"/>
    </row>
    <row r="346" ht="18.0" customHeight="1">
      <c r="A346" s="287" t="s">
        <v>2111</v>
      </c>
      <c r="B346" s="286" t="s">
        <v>2112</v>
      </c>
      <c r="C346" s="20"/>
      <c r="D346" s="20"/>
      <c r="E346" s="20"/>
      <c r="F346" s="6"/>
      <c r="G346" s="6"/>
      <c r="H346" s="6"/>
      <c r="I346" s="6"/>
      <c r="J346" s="6"/>
      <c r="K346" s="6"/>
      <c r="L346" s="6"/>
      <c r="M346" s="6"/>
      <c r="N346" s="6"/>
      <c r="O346" s="6"/>
      <c r="P346" s="6"/>
      <c r="Q346" s="6"/>
      <c r="R346" s="6"/>
      <c r="S346" s="6"/>
      <c r="T346" s="6"/>
      <c r="U346" s="6"/>
      <c r="V346" s="6"/>
      <c r="W346" s="6"/>
      <c r="X346" s="6"/>
      <c r="Y346" s="6"/>
      <c r="Z346" s="6"/>
    </row>
    <row r="347" ht="18.0" customHeight="1">
      <c r="A347" s="287" t="s">
        <v>2113</v>
      </c>
      <c r="B347" s="286" t="s">
        <v>2114</v>
      </c>
      <c r="C347" s="20"/>
      <c r="D347" s="20"/>
      <c r="E347" s="20"/>
      <c r="F347" s="6"/>
      <c r="G347" s="6"/>
      <c r="H347" s="6"/>
      <c r="I347" s="6"/>
      <c r="J347" s="6"/>
      <c r="K347" s="6"/>
      <c r="L347" s="6"/>
      <c r="M347" s="6"/>
      <c r="N347" s="6"/>
      <c r="O347" s="6"/>
      <c r="P347" s="6"/>
      <c r="Q347" s="6"/>
      <c r="R347" s="6"/>
      <c r="S347" s="6"/>
      <c r="T347" s="6"/>
      <c r="U347" s="6"/>
      <c r="V347" s="6"/>
      <c r="W347" s="6"/>
      <c r="X347" s="6"/>
      <c r="Y347" s="6"/>
      <c r="Z347" s="6"/>
    </row>
    <row r="348" ht="18.0" customHeight="1">
      <c r="A348" s="287" t="s">
        <v>2115</v>
      </c>
      <c r="B348" s="286" t="s">
        <v>2116</v>
      </c>
      <c r="C348" s="20"/>
      <c r="D348" s="20"/>
      <c r="E348" s="20"/>
      <c r="F348" s="6"/>
      <c r="G348" s="6"/>
      <c r="H348" s="6"/>
      <c r="I348" s="6"/>
      <c r="J348" s="6"/>
      <c r="K348" s="6"/>
      <c r="L348" s="6"/>
      <c r="M348" s="6"/>
      <c r="N348" s="6"/>
      <c r="O348" s="6"/>
      <c r="P348" s="6"/>
      <c r="Q348" s="6"/>
      <c r="R348" s="6"/>
      <c r="S348" s="6"/>
      <c r="T348" s="6"/>
      <c r="U348" s="6"/>
      <c r="V348" s="6"/>
      <c r="W348" s="6"/>
      <c r="X348" s="6"/>
      <c r="Y348" s="6"/>
      <c r="Z348" s="6"/>
    </row>
    <row r="349" ht="18.0" customHeight="1">
      <c r="A349" s="287" t="s">
        <v>2117</v>
      </c>
      <c r="B349" s="286" t="s">
        <v>2118</v>
      </c>
      <c r="C349" s="20"/>
      <c r="D349" s="20"/>
      <c r="E349" s="20"/>
      <c r="F349" s="6"/>
      <c r="G349" s="6"/>
      <c r="H349" s="6"/>
      <c r="I349" s="6"/>
      <c r="J349" s="6"/>
      <c r="K349" s="6"/>
      <c r="L349" s="6"/>
      <c r="M349" s="6"/>
      <c r="N349" s="6"/>
      <c r="O349" s="6"/>
      <c r="P349" s="6"/>
      <c r="Q349" s="6"/>
      <c r="R349" s="6"/>
      <c r="S349" s="6"/>
      <c r="T349" s="6"/>
      <c r="U349" s="6"/>
      <c r="V349" s="6"/>
      <c r="W349" s="6"/>
      <c r="X349" s="6"/>
      <c r="Y349" s="6"/>
      <c r="Z349" s="6"/>
    </row>
    <row r="350" ht="18.0" customHeight="1">
      <c r="A350" s="287" t="s">
        <v>2119</v>
      </c>
      <c r="B350" s="286" t="s">
        <v>2120</v>
      </c>
      <c r="C350" s="20"/>
      <c r="D350" s="20"/>
      <c r="E350" s="20"/>
      <c r="F350" s="6"/>
      <c r="G350" s="6"/>
      <c r="H350" s="6"/>
      <c r="I350" s="6"/>
      <c r="J350" s="6"/>
      <c r="K350" s="6"/>
      <c r="L350" s="6"/>
      <c r="M350" s="6"/>
      <c r="N350" s="6"/>
      <c r="O350" s="6"/>
      <c r="P350" s="6"/>
      <c r="Q350" s="6"/>
      <c r="R350" s="6"/>
      <c r="S350" s="6"/>
      <c r="T350" s="6"/>
      <c r="U350" s="6"/>
      <c r="V350" s="6"/>
      <c r="W350" s="6"/>
      <c r="X350" s="6"/>
      <c r="Y350" s="6"/>
      <c r="Z350" s="6"/>
    </row>
    <row r="351" ht="18.0" customHeight="1">
      <c r="A351" s="287" t="s">
        <v>2121</v>
      </c>
      <c r="B351" s="286" t="s">
        <v>2122</v>
      </c>
      <c r="C351" s="20"/>
      <c r="D351" s="20"/>
      <c r="E351" s="20"/>
      <c r="F351" s="6"/>
      <c r="G351" s="6"/>
      <c r="H351" s="6"/>
      <c r="I351" s="6"/>
      <c r="J351" s="6"/>
      <c r="K351" s="6"/>
      <c r="L351" s="6"/>
      <c r="M351" s="6"/>
      <c r="N351" s="6"/>
      <c r="O351" s="6"/>
      <c r="P351" s="6"/>
      <c r="Q351" s="6"/>
      <c r="R351" s="6"/>
      <c r="S351" s="6"/>
      <c r="T351" s="6"/>
      <c r="U351" s="6"/>
      <c r="V351" s="6"/>
      <c r="W351" s="6"/>
      <c r="X351" s="6"/>
      <c r="Y351" s="6"/>
      <c r="Z351" s="6"/>
    </row>
    <row r="352" ht="18.0" customHeight="1">
      <c r="A352" s="287" t="s">
        <v>934</v>
      </c>
      <c r="B352" s="286" t="s">
        <v>2123</v>
      </c>
      <c r="C352" s="20"/>
      <c r="D352" s="20"/>
      <c r="E352" s="20"/>
      <c r="F352" s="6"/>
      <c r="G352" s="6"/>
      <c r="H352" s="6"/>
      <c r="I352" s="6"/>
      <c r="J352" s="6"/>
      <c r="K352" s="6"/>
      <c r="L352" s="6"/>
      <c r="M352" s="6"/>
      <c r="N352" s="6"/>
      <c r="O352" s="6"/>
      <c r="P352" s="6"/>
      <c r="Q352" s="6"/>
      <c r="R352" s="6"/>
      <c r="S352" s="6"/>
      <c r="T352" s="6"/>
      <c r="U352" s="6"/>
      <c r="V352" s="6"/>
      <c r="W352" s="6"/>
      <c r="X352" s="6"/>
      <c r="Y352" s="6"/>
      <c r="Z352" s="6"/>
    </row>
    <row r="353" ht="18.0" customHeight="1">
      <c r="A353" s="287" t="s">
        <v>2124</v>
      </c>
      <c r="B353" s="286" t="s">
        <v>2125</v>
      </c>
      <c r="C353" s="20"/>
      <c r="D353" s="20"/>
      <c r="E353" s="20"/>
      <c r="F353" s="6"/>
      <c r="G353" s="6"/>
      <c r="H353" s="6"/>
      <c r="I353" s="6"/>
      <c r="J353" s="6"/>
      <c r="K353" s="6"/>
      <c r="L353" s="6"/>
      <c r="M353" s="6"/>
      <c r="N353" s="6"/>
      <c r="O353" s="6"/>
      <c r="P353" s="6"/>
      <c r="Q353" s="6"/>
      <c r="R353" s="6"/>
      <c r="S353" s="6"/>
      <c r="T353" s="6"/>
      <c r="U353" s="6"/>
      <c r="V353" s="6"/>
      <c r="W353" s="6"/>
      <c r="X353" s="6"/>
      <c r="Y353" s="6"/>
      <c r="Z353" s="6"/>
    </row>
    <row r="354" ht="18.0" customHeight="1">
      <c r="A354" s="287" t="s">
        <v>2126</v>
      </c>
      <c r="B354" s="286" t="s">
        <v>2127</v>
      </c>
      <c r="C354" s="20"/>
      <c r="D354" s="20"/>
      <c r="E354" s="20"/>
      <c r="F354" s="6"/>
      <c r="G354" s="6"/>
      <c r="H354" s="6"/>
      <c r="I354" s="6"/>
      <c r="J354" s="6"/>
      <c r="K354" s="6"/>
      <c r="L354" s="6"/>
      <c r="M354" s="6"/>
      <c r="N354" s="6"/>
      <c r="O354" s="6"/>
      <c r="P354" s="6"/>
      <c r="Q354" s="6"/>
      <c r="R354" s="6"/>
      <c r="S354" s="6"/>
      <c r="T354" s="6"/>
      <c r="U354" s="6"/>
      <c r="V354" s="6"/>
      <c r="W354" s="6"/>
      <c r="X354" s="6"/>
      <c r="Y354" s="6"/>
      <c r="Z354" s="6"/>
    </row>
    <row r="355" ht="18.0" customHeight="1">
      <c r="A355" s="289" t="s">
        <v>2128</v>
      </c>
      <c r="B355" s="286" t="s">
        <v>2129</v>
      </c>
      <c r="C355" s="20"/>
      <c r="D355" s="20"/>
      <c r="E355" s="20"/>
      <c r="F355" s="6"/>
      <c r="G355" s="6"/>
      <c r="H355" s="6"/>
      <c r="I355" s="6"/>
      <c r="J355" s="6"/>
      <c r="K355" s="6"/>
      <c r="L355" s="6"/>
      <c r="M355" s="6"/>
      <c r="N355" s="6"/>
      <c r="O355" s="6"/>
      <c r="P355" s="6"/>
      <c r="Q355" s="6"/>
      <c r="R355" s="6"/>
      <c r="S355" s="6"/>
      <c r="T355" s="6"/>
      <c r="U355" s="6"/>
      <c r="V355" s="6"/>
      <c r="W355" s="6"/>
      <c r="X355" s="6"/>
      <c r="Y355" s="6"/>
      <c r="Z355" s="6"/>
    </row>
    <row r="356" ht="42.75" customHeight="1">
      <c r="A356" s="126" t="s">
        <v>2130</v>
      </c>
      <c r="B356" s="290" t="s">
        <v>2131</v>
      </c>
      <c r="C356" s="20"/>
      <c r="D356" s="20"/>
      <c r="E356" s="20"/>
      <c r="F356" s="6"/>
      <c r="G356" s="6"/>
      <c r="H356" s="6"/>
      <c r="I356" s="6"/>
      <c r="J356" s="6"/>
      <c r="K356" s="6"/>
      <c r="L356" s="6"/>
      <c r="M356" s="6"/>
      <c r="N356" s="6"/>
      <c r="O356" s="6"/>
      <c r="P356" s="6"/>
      <c r="Q356" s="6"/>
      <c r="R356" s="6"/>
      <c r="S356" s="6"/>
      <c r="T356" s="6"/>
      <c r="U356" s="6"/>
      <c r="V356" s="6"/>
      <c r="W356" s="6"/>
      <c r="X356" s="6"/>
      <c r="Y356" s="6"/>
      <c r="Z356" s="6"/>
    </row>
    <row r="357" ht="142.5" customHeight="1">
      <c r="A357" s="126" t="s">
        <v>862</v>
      </c>
      <c r="B357" s="290" t="s">
        <v>2132</v>
      </c>
      <c r="C357" s="20"/>
      <c r="D357" s="20"/>
      <c r="E357" s="20"/>
      <c r="F357" s="6"/>
      <c r="G357" s="6"/>
      <c r="H357" s="6"/>
      <c r="I357" s="6"/>
      <c r="J357" s="6"/>
      <c r="K357" s="6"/>
      <c r="L357" s="6"/>
      <c r="M357" s="6"/>
      <c r="N357" s="6"/>
      <c r="O357" s="6"/>
      <c r="P357" s="6"/>
      <c r="Q357" s="6"/>
      <c r="R357" s="6"/>
      <c r="S357" s="6"/>
      <c r="T357" s="6"/>
      <c r="U357" s="6"/>
      <c r="V357" s="6"/>
      <c r="W357" s="6"/>
      <c r="X357" s="6"/>
      <c r="Y357" s="6"/>
      <c r="Z357" s="6"/>
    </row>
    <row r="358" ht="142.5" customHeight="1">
      <c r="A358" s="126" t="s">
        <v>907</v>
      </c>
      <c r="B358" s="290" t="s">
        <v>2133</v>
      </c>
      <c r="C358" s="20"/>
      <c r="D358" s="20"/>
      <c r="E358" s="20"/>
      <c r="F358" s="6"/>
      <c r="G358" s="6"/>
      <c r="H358" s="6"/>
      <c r="I358" s="6"/>
      <c r="J358" s="6"/>
      <c r="K358" s="6"/>
      <c r="L358" s="6"/>
      <c r="M358" s="6"/>
      <c r="N358" s="6"/>
      <c r="O358" s="6"/>
      <c r="P358" s="6"/>
      <c r="Q358" s="6"/>
      <c r="R358" s="6"/>
      <c r="S358" s="6"/>
      <c r="T358" s="6"/>
      <c r="U358" s="6"/>
      <c r="V358" s="6"/>
      <c r="W358" s="6"/>
      <c r="X358" s="6"/>
      <c r="Y358" s="6"/>
      <c r="Z358" s="6"/>
    </row>
    <row r="359" ht="30.0" customHeight="1">
      <c r="A359" s="282" t="s">
        <v>925</v>
      </c>
      <c r="B359" s="286" t="s">
        <v>2134</v>
      </c>
      <c r="C359" s="20"/>
      <c r="D359" s="20"/>
      <c r="E359" s="20"/>
      <c r="F359" s="6"/>
      <c r="G359" s="6"/>
      <c r="H359" s="6"/>
      <c r="I359" s="6"/>
      <c r="J359" s="6"/>
      <c r="K359" s="6"/>
      <c r="L359" s="6"/>
      <c r="M359" s="6"/>
      <c r="N359" s="6"/>
      <c r="O359" s="6"/>
      <c r="P359" s="6"/>
      <c r="Q359" s="6"/>
      <c r="R359" s="6"/>
      <c r="S359" s="6"/>
      <c r="T359" s="6"/>
      <c r="U359" s="6"/>
      <c r="V359" s="6"/>
      <c r="W359" s="6"/>
      <c r="X359" s="6"/>
      <c r="Y359" s="6"/>
      <c r="Z359" s="6"/>
    </row>
    <row r="360" ht="28.5" customHeight="1">
      <c r="A360" s="126" t="s">
        <v>942</v>
      </c>
      <c r="B360" s="290" t="s">
        <v>2135</v>
      </c>
      <c r="C360" s="20"/>
      <c r="D360" s="20"/>
      <c r="E360" s="20"/>
      <c r="F360" s="6"/>
      <c r="G360" s="6"/>
      <c r="H360" s="6"/>
      <c r="I360" s="6"/>
      <c r="J360" s="6"/>
      <c r="K360" s="6"/>
      <c r="L360" s="6"/>
      <c r="M360" s="6"/>
      <c r="N360" s="6"/>
      <c r="O360" s="6"/>
      <c r="P360" s="6"/>
      <c r="Q360" s="6"/>
      <c r="R360" s="6"/>
      <c r="S360" s="6"/>
      <c r="T360" s="6"/>
      <c r="U360" s="6"/>
      <c r="V360" s="6"/>
      <c r="W360" s="6"/>
      <c r="X360" s="6"/>
      <c r="Y360" s="6"/>
      <c r="Z360" s="6"/>
    </row>
    <row r="361" ht="30.0" customHeight="1">
      <c r="A361" s="285" t="s">
        <v>952</v>
      </c>
      <c r="B361" s="286" t="s">
        <v>2136</v>
      </c>
      <c r="C361" s="20"/>
      <c r="D361" s="20"/>
      <c r="E361" s="20"/>
      <c r="F361" s="6"/>
      <c r="G361" s="6"/>
      <c r="H361" s="6"/>
      <c r="I361" s="6"/>
      <c r="J361" s="6"/>
      <c r="K361" s="6"/>
      <c r="L361" s="6"/>
      <c r="M361" s="6"/>
      <c r="N361" s="6"/>
      <c r="O361" s="6"/>
      <c r="P361" s="6"/>
      <c r="Q361" s="6"/>
      <c r="R361" s="6"/>
      <c r="S361" s="6"/>
      <c r="T361" s="6"/>
      <c r="U361" s="6"/>
      <c r="V361" s="6"/>
      <c r="W361" s="6"/>
      <c r="X361" s="6"/>
      <c r="Y361" s="6"/>
      <c r="Z361" s="6"/>
    </row>
    <row r="362" ht="45.0" customHeight="1">
      <c r="A362" s="287" t="s">
        <v>977</v>
      </c>
      <c r="B362" s="286" t="s">
        <v>2137</v>
      </c>
      <c r="C362" s="20"/>
      <c r="D362" s="20"/>
      <c r="E362" s="20"/>
      <c r="F362" s="6"/>
      <c r="G362" s="6"/>
      <c r="H362" s="6"/>
      <c r="I362" s="6"/>
      <c r="J362" s="6"/>
      <c r="K362" s="6"/>
      <c r="L362" s="6"/>
      <c r="M362" s="6"/>
      <c r="N362" s="6"/>
      <c r="O362" s="6"/>
      <c r="P362" s="6"/>
      <c r="Q362" s="6"/>
      <c r="R362" s="6"/>
      <c r="S362" s="6"/>
      <c r="T362" s="6"/>
      <c r="U362" s="6"/>
      <c r="V362" s="6"/>
      <c r="W362" s="6"/>
      <c r="X362" s="6"/>
      <c r="Y362" s="6"/>
      <c r="Z362" s="6"/>
    </row>
    <row r="363" ht="30.0" customHeight="1">
      <c r="A363" s="287" t="s">
        <v>984</v>
      </c>
      <c r="B363" s="286" t="s">
        <v>2138</v>
      </c>
      <c r="C363" s="20"/>
      <c r="D363" s="20"/>
      <c r="E363" s="20"/>
      <c r="F363" s="6"/>
      <c r="G363" s="6"/>
      <c r="H363" s="6"/>
      <c r="I363" s="6"/>
      <c r="J363" s="6"/>
      <c r="K363" s="6"/>
      <c r="L363" s="6"/>
      <c r="M363" s="6"/>
      <c r="N363" s="6"/>
      <c r="O363" s="6"/>
      <c r="P363" s="6"/>
      <c r="Q363" s="6"/>
      <c r="R363" s="6"/>
      <c r="S363" s="6"/>
      <c r="T363" s="6"/>
      <c r="U363" s="6"/>
      <c r="V363" s="6"/>
      <c r="W363" s="6"/>
      <c r="X363" s="6"/>
      <c r="Y363" s="6"/>
      <c r="Z363" s="6"/>
    </row>
    <row r="364" ht="45.0" customHeight="1">
      <c r="A364" s="289" t="s">
        <v>1011</v>
      </c>
      <c r="B364" s="286" t="s">
        <v>2139</v>
      </c>
      <c r="C364" s="20"/>
      <c r="D364" s="20"/>
      <c r="E364" s="20"/>
      <c r="F364" s="6"/>
      <c r="G364" s="6"/>
      <c r="H364" s="6"/>
      <c r="I364" s="6"/>
      <c r="J364" s="6"/>
      <c r="K364" s="6"/>
      <c r="L364" s="6"/>
      <c r="M364" s="6"/>
      <c r="N364" s="6"/>
      <c r="O364" s="6"/>
      <c r="P364" s="6"/>
      <c r="Q364" s="6"/>
      <c r="R364" s="6"/>
      <c r="S364" s="6"/>
      <c r="T364" s="6"/>
      <c r="U364" s="6"/>
      <c r="V364" s="6"/>
      <c r="W364" s="6"/>
      <c r="X364" s="6"/>
      <c r="Y364" s="6"/>
      <c r="Z364" s="6"/>
    </row>
    <row r="365" ht="85.5" customHeight="1">
      <c r="A365" s="126" t="s">
        <v>1033</v>
      </c>
      <c r="B365" s="290" t="s">
        <v>2140</v>
      </c>
      <c r="C365" s="20"/>
      <c r="D365" s="20"/>
      <c r="E365" s="20"/>
      <c r="F365" s="6"/>
      <c r="G365" s="6"/>
      <c r="H365" s="6"/>
      <c r="I365" s="6"/>
      <c r="J365" s="6"/>
      <c r="K365" s="6"/>
      <c r="L365" s="6"/>
      <c r="M365" s="6"/>
      <c r="N365" s="6"/>
      <c r="O365" s="6"/>
      <c r="P365" s="6"/>
      <c r="Q365" s="6"/>
      <c r="R365" s="6"/>
      <c r="S365" s="6"/>
      <c r="T365" s="6"/>
      <c r="U365" s="6"/>
      <c r="V365" s="6"/>
      <c r="W365" s="6"/>
      <c r="X365" s="6"/>
      <c r="Y365" s="6"/>
      <c r="Z365" s="6"/>
    </row>
    <row r="366" ht="42.75" customHeight="1">
      <c r="A366" s="126" t="s">
        <v>1036</v>
      </c>
      <c r="B366" s="290" t="s">
        <v>2141</v>
      </c>
      <c r="C366" s="20"/>
      <c r="D366" s="20"/>
      <c r="E366" s="20"/>
      <c r="F366" s="6"/>
      <c r="G366" s="6"/>
      <c r="H366" s="6"/>
      <c r="I366" s="6"/>
      <c r="J366" s="6"/>
      <c r="K366" s="6"/>
      <c r="L366" s="6"/>
      <c r="M366" s="6"/>
      <c r="N366" s="6"/>
      <c r="O366" s="6"/>
      <c r="P366" s="6"/>
      <c r="Q366" s="6"/>
      <c r="R366" s="6"/>
      <c r="S366" s="6"/>
      <c r="T366" s="6"/>
      <c r="U366" s="6"/>
      <c r="V366" s="6"/>
      <c r="W366" s="6"/>
      <c r="X366" s="6"/>
      <c r="Y366" s="6"/>
      <c r="Z366" s="6"/>
    </row>
    <row r="367" ht="30.0" customHeight="1">
      <c r="A367" s="285" t="s">
        <v>1048</v>
      </c>
      <c r="B367" s="286" t="s">
        <v>2142</v>
      </c>
      <c r="C367" s="20"/>
      <c r="D367" s="20"/>
      <c r="E367" s="20"/>
      <c r="F367" s="6"/>
      <c r="G367" s="6"/>
      <c r="H367" s="6"/>
      <c r="I367" s="6"/>
      <c r="J367" s="6"/>
      <c r="K367" s="6"/>
      <c r="L367" s="6"/>
      <c r="M367" s="6"/>
      <c r="N367" s="6"/>
      <c r="O367" s="6"/>
      <c r="P367" s="6"/>
      <c r="Q367" s="6"/>
      <c r="R367" s="6"/>
      <c r="S367" s="6"/>
      <c r="T367" s="6"/>
      <c r="U367" s="6"/>
      <c r="V367" s="6"/>
      <c r="W367" s="6"/>
      <c r="X367" s="6"/>
      <c r="Y367" s="6"/>
      <c r="Z367" s="6"/>
    </row>
    <row r="368" ht="30.0" customHeight="1">
      <c r="A368" s="289" t="s">
        <v>1069</v>
      </c>
      <c r="B368" s="286" t="s">
        <v>2143</v>
      </c>
      <c r="C368" s="20"/>
      <c r="D368" s="20"/>
      <c r="E368" s="20"/>
      <c r="F368" s="6"/>
      <c r="G368" s="6"/>
      <c r="H368" s="6"/>
      <c r="I368" s="6"/>
      <c r="J368" s="6"/>
      <c r="K368" s="6"/>
      <c r="L368" s="6"/>
      <c r="M368" s="6"/>
      <c r="N368" s="6"/>
      <c r="O368" s="6"/>
      <c r="P368" s="6"/>
      <c r="Q368" s="6"/>
      <c r="R368" s="6"/>
      <c r="S368" s="6"/>
      <c r="T368" s="6"/>
      <c r="U368" s="6"/>
      <c r="V368" s="6"/>
      <c r="W368" s="6"/>
      <c r="X368" s="6"/>
      <c r="Y368" s="6"/>
      <c r="Z368" s="6"/>
    </row>
    <row r="369" ht="42.75" customHeight="1">
      <c r="A369" s="126" t="s">
        <v>1102</v>
      </c>
      <c r="B369" s="290" t="s">
        <v>2144</v>
      </c>
      <c r="C369" s="20"/>
      <c r="D369" s="20"/>
      <c r="E369" s="20"/>
      <c r="F369" s="6"/>
      <c r="G369" s="6"/>
      <c r="H369" s="6"/>
      <c r="I369" s="6"/>
      <c r="J369" s="6"/>
      <c r="K369" s="6"/>
      <c r="L369" s="6"/>
      <c r="M369" s="6"/>
      <c r="N369" s="6"/>
      <c r="O369" s="6"/>
      <c r="P369" s="6"/>
      <c r="Q369" s="6"/>
      <c r="R369" s="6"/>
      <c r="S369" s="6"/>
      <c r="T369" s="6"/>
      <c r="U369" s="6"/>
      <c r="V369" s="6"/>
      <c r="W369" s="6"/>
      <c r="X369" s="6"/>
      <c r="Y369" s="6"/>
      <c r="Z369" s="6"/>
    </row>
    <row r="370" ht="42.75" customHeight="1">
      <c r="A370" s="291" t="s">
        <v>1105</v>
      </c>
      <c r="B370" s="292" t="s">
        <v>2145</v>
      </c>
      <c r="C370" s="20"/>
      <c r="D370" s="20"/>
      <c r="E370" s="20"/>
      <c r="F370" s="6"/>
      <c r="G370" s="6"/>
      <c r="H370" s="6"/>
      <c r="I370" s="6"/>
      <c r="J370" s="6"/>
      <c r="K370" s="6"/>
      <c r="L370" s="6"/>
      <c r="M370" s="6"/>
      <c r="N370" s="6"/>
      <c r="O370" s="6"/>
      <c r="P370" s="6"/>
      <c r="Q370" s="6"/>
      <c r="R370" s="6"/>
      <c r="S370" s="6"/>
      <c r="T370" s="6"/>
      <c r="U370" s="6"/>
      <c r="V370" s="6"/>
      <c r="W370" s="6"/>
      <c r="X370" s="6"/>
      <c r="Y370" s="6"/>
      <c r="Z370" s="6"/>
    </row>
    <row r="371" ht="18.0" customHeight="1">
      <c r="A371" s="293" t="s">
        <v>2146</v>
      </c>
      <c r="B371" s="294" t="s">
        <v>2147</v>
      </c>
      <c r="C371" s="295"/>
      <c r="D371" s="20"/>
      <c r="E371" s="20"/>
      <c r="F371" s="6"/>
      <c r="G371" s="6"/>
      <c r="H371" s="6"/>
      <c r="I371" s="6"/>
      <c r="J371" s="6"/>
      <c r="K371" s="6"/>
      <c r="L371" s="6"/>
      <c r="M371" s="6"/>
      <c r="N371" s="6"/>
      <c r="O371" s="6"/>
      <c r="P371" s="6"/>
      <c r="Q371" s="6"/>
      <c r="R371" s="6"/>
      <c r="S371" s="6"/>
      <c r="T371" s="6"/>
      <c r="U371" s="6"/>
      <c r="V371" s="6"/>
      <c r="W371" s="6"/>
      <c r="X371" s="6"/>
      <c r="Y371" s="6"/>
      <c r="Z371" s="6"/>
    </row>
    <row r="372" ht="18.0" customHeight="1">
      <c r="A372" s="293" t="s">
        <v>2148</v>
      </c>
      <c r="B372" s="294" t="s">
        <v>2149</v>
      </c>
      <c r="C372" s="295"/>
      <c r="D372" s="20"/>
      <c r="E372" s="20"/>
      <c r="F372" s="6"/>
      <c r="G372" s="6"/>
      <c r="H372" s="6"/>
      <c r="I372" s="6"/>
      <c r="J372" s="6"/>
      <c r="K372" s="6"/>
      <c r="L372" s="6"/>
      <c r="M372" s="6"/>
      <c r="N372" s="6"/>
      <c r="O372" s="6"/>
      <c r="P372" s="6"/>
      <c r="Q372" s="6"/>
      <c r="R372" s="6"/>
      <c r="S372" s="6"/>
      <c r="T372" s="6"/>
      <c r="U372" s="6"/>
      <c r="V372" s="6"/>
      <c r="W372" s="6"/>
      <c r="X372" s="6"/>
      <c r="Y372" s="6"/>
      <c r="Z372" s="6"/>
    </row>
    <row r="373" ht="18.0" customHeight="1">
      <c r="A373" s="293" t="s">
        <v>2150</v>
      </c>
      <c r="B373" s="294" t="s">
        <v>2151</v>
      </c>
      <c r="C373" s="295"/>
      <c r="D373" s="20"/>
      <c r="E373" s="20"/>
      <c r="F373" s="6"/>
      <c r="G373" s="6"/>
      <c r="H373" s="6"/>
      <c r="I373" s="6"/>
      <c r="J373" s="6"/>
      <c r="K373" s="6"/>
      <c r="L373" s="6"/>
      <c r="M373" s="6"/>
      <c r="N373" s="6"/>
      <c r="O373" s="6"/>
      <c r="P373" s="6"/>
      <c r="Q373" s="6"/>
      <c r="R373" s="6"/>
      <c r="S373" s="6"/>
      <c r="T373" s="6"/>
      <c r="U373" s="6"/>
      <c r="V373" s="6"/>
      <c r="W373" s="6"/>
      <c r="X373" s="6"/>
      <c r="Y373" s="6"/>
      <c r="Z373" s="6"/>
    </row>
    <row r="374" ht="18.0" customHeight="1">
      <c r="A374" s="293" t="s">
        <v>2152</v>
      </c>
      <c r="B374" s="294" t="s">
        <v>2153</v>
      </c>
      <c r="C374" s="295"/>
      <c r="D374" s="20"/>
      <c r="E374" s="20"/>
      <c r="F374" s="6"/>
      <c r="G374" s="6"/>
      <c r="H374" s="6"/>
      <c r="I374" s="6"/>
      <c r="J374" s="6"/>
      <c r="K374" s="6"/>
      <c r="L374" s="6"/>
      <c r="M374" s="6"/>
      <c r="N374" s="6"/>
      <c r="O374" s="6"/>
      <c r="P374" s="6"/>
      <c r="Q374" s="6"/>
      <c r="R374" s="6"/>
      <c r="S374" s="6"/>
      <c r="T374" s="6"/>
      <c r="U374" s="6"/>
      <c r="V374" s="6"/>
      <c r="W374" s="6"/>
      <c r="X374" s="6"/>
      <c r="Y374" s="6"/>
      <c r="Z374" s="6"/>
    </row>
    <row r="375" ht="18.0" customHeight="1">
      <c r="A375" s="293" t="s">
        <v>2154</v>
      </c>
      <c r="B375" s="294" t="s">
        <v>2155</v>
      </c>
      <c r="C375" s="295"/>
      <c r="D375" s="20"/>
      <c r="E375" s="20"/>
      <c r="F375" s="6"/>
      <c r="G375" s="6"/>
      <c r="H375" s="6"/>
      <c r="I375" s="6"/>
      <c r="J375" s="6"/>
      <c r="K375" s="6"/>
      <c r="L375" s="6"/>
      <c r="M375" s="6"/>
      <c r="N375" s="6"/>
      <c r="O375" s="6"/>
      <c r="P375" s="6"/>
      <c r="Q375" s="6"/>
      <c r="R375" s="6"/>
      <c r="S375" s="6"/>
      <c r="T375" s="6"/>
      <c r="U375" s="6"/>
      <c r="V375" s="6"/>
      <c r="W375" s="6"/>
      <c r="X375" s="6"/>
      <c r="Y375" s="6"/>
      <c r="Z375" s="6"/>
    </row>
    <row r="376" ht="18.0" customHeight="1">
      <c r="A376" s="293" t="s">
        <v>2156</v>
      </c>
      <c r="B376" s="294" t="s">
        <v>2157</v>
      </c>
      <c r="C376" s="295"/>
      <c r="D376" s="20"/>
      <c r="E376" s="20"/>
      <c r="F376" s="6"/>
      <c r="G376" s="6"/>
      <c r="H376" s="6"/>
      <c r="I376" s="6"/>
      <c r="J376" s="6"/>
      <c r="K376" s="6"/>
      <c r="L376" s="6"/>
      <c r="M376" s="6"/>
      <c r="N376" s="6"/>
      <c r="O376" s="6"/>
      <c r="P376" s="6"/>
      <c r="Q376" s="6"/>
      <c r="R376" s="6"/>
      <c r="S376" s="6"/>
      <c r="T376" s="6"/>
      <c r="U376" s="6"/>
      <c r="V376" s="6"/>
      <c r="W376" s="6"/>
      <c r="X376" s="6"/>
      <c r="Y376" s="6"/>
      <c r="Z376" s="6"/>
    </row>
    <row r="377" ht="18.0" customHeight="1">
      <c r="A377" s="296" t="s">
        <v>2158</v>
      </c>
      <c r="B377" s="297" t="s">
        <v>2159</v>
      </c>
      <c r="C377" s="298"/>
      <c r="D377" s="20"/>
      <c r="E377" s="20"/>
      <c r="F377" s="6"/>
      <c r="G377" s="6"/>
      <c r="H377" s="6"/>
      <c r="I377" s="6"/>
      <c r="J377" s="6"/>
      <c r="K377" s="6"/>
      <c r="L377" s="6"/>
      <c r="M377" s="6"/>
      <c r="N377" s="6"/>
      <c r="O377" s="6"/>
      <c r="P377" s="6"/>
      <c r="Q377" s="6"/>
      <c r="R377" s="6"/>
      <c r="S377" s="6"/>
      <c r="T377" s="6"/>
      <c r="U377" s="6"/>
      <c r="V377" s="6"/>
      <c r="W377" s="6"/>
      <c r="X377" s="6"/>
      <c r="Y377" s="6"/>
      <c r="Z377" s="6"/>
    </row>
    <row r="378" ht="18.0" customHeight="1">
      <c r="A378" s="293" t="s">
        <v>2160</v>
      </c>
      <c r="B378" s="294" t="s">
        <v>2161</v>
      </c>
      <c r="C378" s="295"/>
      <c r="D378" s="20"/>
      <c r="E378" s="20"/>
      <c r="F378" s="6"/>
      <c r="G378" s="6"/>
      <c r="H378" s="6"/>
      <c r="I378" s="6"/>
      <c r="J378" s="6"/>
      <c r="K378" s="6"/>
      <c r="L378" s="6"/>
      <c r="M378" s="6"/>
      <c r="N378" s="6"/>
      <c r="O378" s="6"/>
      <c r="P378" s="6"/>
      <c r="Q378" s="6"/>
      <c r="R378" s="6"/>
      <c r="S378" s="6"/>
      <c r="T378" s="6"/>
      <c r="U378" s="6"/>
      <c r="V378" s="6"/>
      <c r="W378" s="6"/>
      <c r="X378" s="6"/>
      <c r="Y378" s="6"/>
      <c r="Z378" s="6"/>
    </row>
    <row r="379" ht="18.0" customHeight="1">
      <c r="A379" s="293" t="s">
        <v>2162</v>
      </c>
      <c r="B379" s="294" t="s">
        <v>2163</v>
      </c>
      <c r="C379" s="295"/>
      <c r="D379" s="20"/>
      <c r="E379" s="20"/>
      <c r="F379" s="6"/>
      <c r="G379" s="6"/>
      <c r="H379" s="6"/>
      <c r="I379" s="6"/>
      <c r="J379" s="6"/>
      <c r="K379" s="6"/>
      <c r="L379" s="6"/>
      <c r="M379" s="6"/>
      <c r="N379" s="6"/>
      <c r="O379" s="6"/>
      <c r="P379" s="6"/>
      <c r="Q379" s="6"/>
      <c r="R379" s="6"/>
      <c r="S379" s="6"/>
      <c r="T379" s="6"/>
      <c r="U379" s="6"/>
      <c r="V379" s="6"/>
      <c r="W379" s="6"/>
      <c r="X379" s="6"/>
      <c r="Y379" s="6"/>
      <c r="Z379" s="6"/>
    </row>
    <row r="380" ht="18.0" customHeight="1">
      <c r="A380" s="293" t="s">
        <v>2164</v>
      </c>
      <c r="B380" s="294" t="s">
        <v>2165</v>
      </c>
      <c r="C380" s="295"/>
      <c r="D380" s="20"/>
      <c r="E380" s="20"/>
      <c r="F380" s="6"/>
      <c r="G380" s="6"/>
      <c r="H380" s="6"/>
      <c r="I380" s="6"/>
      <c r="J380" s="6"/>
      <c r="K380" s="6"/>
      <c r="L380" s="6"/>
      <c r="M380" s="6"/>
      <c r="N380" s="6"/>
      <c r="O380" s="6"/>
      <c r="P380" s="6"/>
      <c r="Q380" s="6"/>
      <c r="R380" s="6"/>
      <c r="S380" s="6"/>
      <c r="T380" s="6"/>
      <c r="U380" s="6"/>
      <c r="V380" s="6"/>
      <c r="W380" s="6"/>
      <c r="X380" s="6"/>
      <c r="Y380" s="6"/>
      <c r="Z380" s="6"/>
    </row>
    <row r="381" ht="18.0" customHeight="1">
      <c r="A381" s="293" t="s">
        <v>2166</v>
      </c>
      <c r="B381" s="294" t="s">
        <v>2167</v>
      </c>
      <c r="C381" s="295"/>
      <c r="D381" s="20"/>
      <c r="E381" s="20"/>
      <c r="F381" s="6"/>
      <c r="G381" s="6"/>
      <c r="H381" s="6"/>
      <c r="I381" s="6"/>
      <c r="J381" s="6"/>
      <c r="K381" s="6"/>
      <c r="L381" s="6"/>
      <c r="M381" s="6"/>
      <c r="N381" s="6"/>
      <c r="O381" s="6"/>
      <c r="P381" s="6"/>
      <c r="Q381" s="6"/>
      <c r="R381" s="6"/>
      <c r="S381" s="6"/>
      <c r="T381" s="6"/>
      <c r="U381" s="6"/>
      <c r="V381" s="6"/>
      <c r="W381" s="6"/>
      <c r="X381" s="6"/>
      <c r="Y381" s="6"/>
      <c r="Z381" s="6"/>
    </row>
    <row r="382" ht="18.0" customHeight="1">
      <c r="A382" s="293" t="s">
        <v>2168</v>
      </c>
      <c r="B382" s="294" t="s">
        <v>2169</v>
      </c>
      <c r="C382" s="295"/>
      <c r="D382" s="20"/>
      <c r="E382" s="20"/>
      <c r="F382" s="6"/>
      <c r="G382" s="6"/>
      <c r="H382" s="6"/>
      <c r="I382" s="6"/>
      <c r="J382" s="6"/>
      <c r="K382" s="6"/>
      <c r="L382" s="6"/>
      <c r="M382" s="6"/>
      <c r="N382" s="6"/>
      <c r="O382" s="6"/>
      <c r="P382" s="6"/>
      <c r="Q382" s="6"/>
      <c r="R382" s="6"/>
      <c r="S382" s="6"/>
      <c r="T382" s="6"/>
      <c r="U382" s="6"/>
      <c r="V382" s="6"/>
      <c r="W382" s="6"/>
      <c r="X382" s="6"/>
      <c r="Y382" s="6"/>
      <c r="Z382" s="6"/>
    </row>
    <row r="383" ht="18.0" customHeight="1">
      <c r="A383" s="293" t="s">
        <v>2170</v>
      </c>
      <c r="B383" s="294" t="s">
        <v>2171</v>
      </c>
      <c r="C383" s="295"/>
      <c r="D383" s="20"/>
      <c r="E383" s="20"/>
      <c r="F383" s="6"/>
      <c r="G383" s="6"/>
      <c r="H383" s="6"/>
      <c r="I383" s="6"/>
      <c r="J383" s="6"/>
      <c r="K383" s="6"/>
      <c r="L383" s="6"/>
      <c r="M383" s="6"/>
      <c r="N383" s="6"/>
      <c r="O383" s="6"/>
      <c r="P383" s="6"/>
      <c r="Q383" s="6"/>
      <c r="R383" s="6"/>
      <c r="S383" s="6"/>
      <c r="T383" s="6"/>
      <c r="U383" s="6"/>
      <c r="V383" s="6"/>
      <c r="W383" s="6"/>
      <c r="X383" s="6"/>
      <c r="Y383" s="6"/>
      <c r="Z383" s="6"/>
    </row>
    <row r="384" ht="18.0" customHeight="1">
      <c r="A384" s="293" t="s">
        <v>2172</v>
      </c>
      <c r="B384" s="294" t="s">
        <v>2173</v>
      </c>
      <c r="C384" s="295"/>
      <c r="D384" s="20"/>
      <c r="E384" s="20"/>
      <c r="F384" s="6"/>
      <c r="G384" s="6"/>
      <c r="H384" s="6"/>
      <c r="I384" s="6"/>
      <c r="J384" s="6"/>
      <c r="K384" s="6"/>
      <c r="L384" s="6"/>
      <c r="M384" s="6"/>
      <c r="N384" s="6"/>
      <c r="O384" s="6"/>
      <c r="P384" s="6"/>
      <c r="Q384" s="6"/>
      <c r="R384" s="6"/>
      <c r="S384" s="6"/>
      <c r="T384" s="6"/>
      <c r="U384" s="6"/>
      <c r="V384" s="6"/>
      <c r="W384" s="6"/>
      <c r="X384" s="6"/>
      <c r="Y384" s="6"/>
      <c r="Z384" s="6"/>
    </row>
    <row r="385" ht="18.0" customHeight="1">
      <c r="A385" s="293" t="s">
        <v>2174</v>
      </c>
      <c r="B385" s="299" t="s">
        <v>2175</v>
      </c>
      <c r="C385" s="295"/>
      <c r="D385" s="20"/>
      <c r="E385" s="20"/>
      <c r="F385" s="6"/>
      <c r="G385" s="6"/>
      <c r="H385" s="6"/>
      <c r="I385" s="6"/>
      <c r="J385" s="6"/>
      <c r="K385" s="6"/>
      <c r="L385" s="6"/>
      <c r="M385" s="6"/>
      <c r="N385" s="6"/>
      <c r="O385" s="6"/>
      <c r="P385" s="6"/>
      <c r="Q385" s="6"/>
      <c r="R385" s="6"/>
      <c r="S385" s="6"/>
      <c r="T385" s="6"/>
      <c r="U385" s="6"/>
      <c r="V385" s="6"/>
      <c r="W385" s="6"/>
      <c r="X385" s="6"/>
      <c r="Y385" s="6"/>
      <c r="Z385" s="6"/>
    </row>
    <row r="386" ht="18.0" customHeight="1">
      <c r="A386" s="293" t="s">
        <v>2176</v>
      </c>
      <c r="B386" s="294" t="s">
        <v>2177</v>
      </c>
      <c r="C386" s="295"/>
      <c r="D386" s="20"/>
      <c r="E386" s="20"/>
      <c r="F386" s="6"/>
      <c r="G386" s="6"/>
      <c r="H386" s="6"/>
      <c r="I386" s="6"/>
      <c r="J386" s="6"/>
      <c r="K386" s="6"/>
      <c r="L386" s="6"/>
      <c r="M386" s="6"/>
      <c r="N386" s="6"/>
      <c r="O386" s="6"/>
      <c r="P386" s="6"/>
      <c r="Q386" s="6"/>
      <c r="R386" s="6"/>
      <c r="S386" s="6"/>
      <c r="T386" s="6"/>
      <c r="U386" s="6"/>
      <c r="V386" s="6"/>
      <c r="W386" s="6"/>
      <c r="X386" s="6"/>
      <c r="Y386" s="6"/>
      <c r="Z386" s="6"/>
    </row>
    <row r="387" ht="18.0" customHeight="1">
      <c r="A387" s="293" t="s">
        <v>2178</v>
      </c>
      <c r="B387" s="294" t="s">
        <v>2179</v>
      </c>
      <c r="C387" s="295"/>
      <c r="D387" s="20"/>
      <c r="E387" s="20"/>
      <c r="F387" s="6"/>
      <c r="G387" s="6"/>
      <c r="H387" s="6"/>
      <c r="I387" s="6"/>
      <c r="J387" s="6"/>
      <c r="K387" s="6"/>
      <c r="L387" s="6"/>
      <c r="M387" s="6"/>
      <c r="N387" s="6"/>
      <c r="O387" s="6"/>
      <c r="P387" s="6"/>
      <c r="Q387" s="6"/>
      <c r="R387" s="6"/>
      <c r="S387" s="6"/>
      <c r="T387" s="6"/>
      <c r="U387" s="6"/>
      <c r="V387" s="6"/>
      <c r="W387" s="6"/>
      <c r="X387" s="6"/>
      <c r="Y387" s="6"/>
      <c r="Z387" s="6"/>
    </row>
    <row r="388" ht="18.0" customHeight="1">
      <c r="A388" s="293" t="s">
        <v>2180</v>
      </c>
      <c r="B388" s="294" t="s">
        <v>2181</v>
      </c>
      <c r="C388" s="295"/>
      <c r="D388" s="20"/>
      <c r="E388" s="20"/>
      <c r="F388" s="6"/>
      <c r="G388" s="6"/>
      <c r="H388" s="6"/>
      <c r="I388" s="6"/>
      <c r="J388" s="6"/>
      <c r="K388" s="6"/>
      <c r="L388" s="6"/>
      <c r="M388" s="6"/>
      <c r="N388" s="6"/>
      <c r="O388" s="6"/>
      <c r="P388" s="6"/>
      <c r="Q388" s="6"/>
      <c r="R388" s="6"/>
      <c r="S388" s="6"/>
      <c r="T388" s="6"/>
      <c r="U388" s="6"/>
      <c r="V388" s="6"/>
      <c r="W388" s="6"/>
      <c r="X388" s="6"/>
      <c r="Y388" s="6"/>
      <c r="Z388" s="6"/>
    </row>
    <row r="389" ht="18.0" customHeight="1">
      <c r="A389" s="293" t="s">
        <v>2182</v>
      </c>
      <c r="B389" s="294" t="s">
        <v>2183</v>
      </c>
      <c r="C389" s="295"/>
      <c r="D389" s="20"/>
      <c r="E389" s="20"/>
      <c r="F389" s="6"/>
      <c r="G389" s="6"/>
      <c r="H389" s="6"/>
      <c r="I389" s="6"/>
      <c r="J389" s="6"/>
      <c r="K389" s="6"/>
      <c r="L389" s="6"/>
      <c r="M389" s="6"/>
      <c r="N389" s="6"/>
      <c r="O389" s="6"/>
      <c r="P389" s="6"/>
      <c r="Q389" s="6"/>
      <c r="R389" s="6"/>
      <c r="S389" s="6"/>
      <c r="T389" s="6"/>
      <c r="U389" s="6"/>
      <c r="V389" s="6"/>
      <c r="W389" s="6"/>
      <c r="X389" s="6"/>
      <c r="Y389" s="6"/>
      <c r="Z389" s="6"/>
    </row>
    <row r="390" ht="18.0" customHeight="1">
      <c r="A390" s="293" t="s">
        <v>2184</v>
      </c>
      <c r="B390" s="294" t="s">
        <v>2185</v>
      </c>
      <c r="C390" s="295"/>
      <c r="D390" s="20"/>
      <c r="E390" s="20"/>
      <c r="F390" s="6"/>
      <c r="G390" s="6"/>
      <c r="H390" s="6"/>
      <c r="I390" s="6"/>
      <c r="J390" s="6"/>
      <c r="K390" s="6"/>
      <c r="L390" s="6"/>
      <c r="M390" s="6"/>
      <c r="N390" s="6"/>
      <c r="O390" s="6"/>
      <c r="P390" s="6"/>
      <c r="Q390" s="6"/>
      <c r="R390" s="6"/>
      <c r="S390" s="6"/>
      <c r="T390" s="6"/>
      <c r="U390" s="6"/>
      <c r="V390" s="6"/>
      <c r="W390" s="6"/>
      <c r="X390" s="6"/>
      <c r="Y390" s="6"/>
      <c r="Z390" s="6"/>
    </row>
    <row r="391" ht="18.0" customHeight="1">
      <c r="A391" s="293" t="s">
        <v>1027</v>
      </c>
      <c r="B391" s="294" t="s">
        <v>2186</v>
      </c>
      <c r="C391" s="295"/>
      <c r="D391" s="20"/>
      <c r="E391" s="20"/>
      <c r="F391" s="6"/>
      <c r="G391" s="6"/>
      <c r="H391" s="6"/>
      <c r="I391" s="6"/>
      <c r="J391" s="6"/>
      <c r="K391" s="6"/>
      <c r="L391" s="6"/>
      <c r="M391" s="6"/>
      <c r="N391" s="6"/>
      <c r="O391" s="6"/>
      <c r="P391" s="6"/>
      <c r="Q391" s="6"/>
      <c r="R391" s="6"/>
      <c r="S391" s="6"/>
      <c r="T391" s="6"/>
      <c r="U391" s="6"/>
      <c r="V391" s="6"/>
      <c r="W391" s="6"/>
      <c r="X391" s="6"/>
      <c r="Y391" s="6"/>
      <c r="Z391" s="6"/>
    </row>
    <row r="392" ht="18.0" customHeight="1">
      <c r="A392" s="293" t="s">
        <v>2187</v>
      </c>
      <c r="B392" s="294" t="s">
        <v>2188</v>
      </c>
      <c r="C392" s="295"/>
      <c r="D392" s="20"/>
      <c r="E392" s="20"/>
      <c r="F392" s="6"/>
      <c r="G392" s="6"/>
      <c r="H392" s="6"/>
      <c r="I392" s="6"/>
      <c r="J392" s="6"/>
      <c r="K392" s="6"/>
      <c r="L392" s="6"/>
      <c r="M392" s="6"/>
      <c r="N392" s="6"/>
      <c r="O392" s="6"/>
      <c r="P392" s="6"/>
      <c r="Q392" s="6"/>
      <c r="R392" s="6"/>
      <c r="S392" s="6"/>
      <c r="T392" s="6"/>
      <c r="U392" s="6"/>
      <c r="V392" s="6"/>
      <c r="W392" s="6"/>
      <c r="X392" s="6"/>
      <c r="Y392" s="6"/>
      <c r="Z392" s="6"/>
    </row>
    <row r="393" ht="18.0" customHeight="1">
      <c r="A393" s="293" t="s">
        <v>2189</v>
      </c>
      <c r="B393" s="294" t="s">
        <v>2190</v>
      </c>
      <c r="C393" s="295"/>
      <c r="D393" s="20"/>
      <c r="E393" s="20"/>
      <c r="F393" s="6"/>
      <c r="G393" s="6"/>
      <c r="H393" s="6"/>
      <c r="I393" s="6"/>
      <c r="J393" s="6"/>
      <c r="K393" s="6"/>
      <c r="L393" s="6"/>
      <c r="M393" s="6"/>
      <c r="N393" s="6"/>
      <c r="O393" s="6"/>
      <c r="P393" s="6"/>
      <c r="Q393" s="6"/>
      <c r="R393" s="6"/>
      <c r="S393" s="6"/>
      <c r="T393" s="6"/>
      <c r="U393" s="6"/>
      <c r="V393" s="6"/>
      <c r="W393" s="6"/>
      <c r="X393" s="6"/>
      <c r="Y393" s="6"/>
      <c r="Z393" s="6"/>
    </row>
    <row r="394" ht="18.0" customHeight="1">
      <c r="A394" s="293" t="s">
        <v>2191</v>
      </c>
      <c r="B394" s="294" t="s">
        <v>2192</v>
      </c>
      <c r="C394" s="295"/>
      <c r="D394" s="20"/>
      <c r="E394" s="20"/>
      <c r="F394" s="6"/>
      <c r="G394" s="6"/>
      <c r="H394" s="6"/>
      <c r="I394" s="6"/>
      <c r="J394" s="6"/>
      <c r="K394" s="6"/>
      <c r="L394" s="6"/>
      <c r="M394" s="6"/>
      <c r="N394" s="6"/>
      <c r="O394" s="6"/>
      <c r="P394" s="6"/>
      <c r="Q394" s="6"/>
      <c r="R394" s="6"/>
      <c r="S394" s="6"/>
      <c r="T394" s="6"/>
      <c r="U394" s="6"/>
      <c r="V394" s="6"/>
      <c r="W394" s="6"/>
      <c r="X394" s="6"/>
      <c r="Y394" s="6"/>
      <c r="Z394" s="6"/>
    </row>
    <row r="395" ht="18.0" customHeight="1">
      <c r="A395" s="293" t="s">
        <v>2193</v>
      </c>
      <c r="B395" s="294" t="s">
        <v>2194</v>
      </c>
      <c r="C395" s="295"/>
      <c r="D395" s="20"/>
      <c r="E395" s="20"/>
      <c r="F395" s="6"/>
      <c r="G395" s="6"/>
      <c r="H395" s="6"/>
      <c r="I395" s="6"/>
      <c r="J395" s="6"/>
      <c r="K395" s="6"/>
      <c r="L395" s="6"/>
      <c r="M395" s="6"/>
      <c r="N395" s="6"/>
      <c r="O395" s="6"/>
      <c r="P395" s="6"/>
      <c r="Q395" s="6"/>
      <c r="R395" s="6"/>
      <c r="S395" s="6"/>
      <c r="T395" s="6"/>
      <c r="U395" s="6"/>
      <c r="V395" s="6"/>
      <c r="W395" s="6"/>
      <c r="X395" s="6"/>
      <c r="Y395" s="6"/>
      <c r="Z395" s="6"/>
    </row>
    <row r="396" ht="18.0" customHeight="1">
      <c r="A396" s="293" t="s">
        <v>2195</v>
      </c>
      <c r="B396" s="294" t="s">
        <v>2196</v>
      </c>
      <c r="C396" s="295"/>
      <c r="D396" s="20"/>
      <c r="E396" s="20"/>
      <c r="F396" s="6"/>
      <c r="G396" s="6"/>
      <c r="H396" s="6"/>
      <c r="I396" s="6"/>
      <c r="J396" s="6"/>
      <c r="K396" s="6"/>
      <c r="L396" s="6"/>
      <c r="M396" s="6"/>
      <c r="N396" s="6"/>
      <c r="O396" s="6"/>
      <c r="P396" s="6"/>
      <c r="Q396" s="6"/>
      <c r="R396" s="6"/>
      <c r="S396" s="6"/>
      <c r="T396" s="6"/>
      <c r="U396" s="6"/>
      <c r="V396" s="6"/>
      <c r="W396" s="6"/>
      <c r="X396" s="6"/>
      <c r="Y396" s="6"/>
      <c r="Z396" s="6"/>
    </row>
    <row r="397" ht="18.0" customHeight="1">
      <c r="A397" s="293" t="s">
        <v>2197</v>
      </c>
      <c r="B397" s="294" t="s">
        <v>2198</v>
      </c>
      <c r="C397" s="295"/>
      <c r="D397" s="20"/>
      <c r="E397" s="20"/>
      <c r="F397" s="6"/>
      <c r="G397" s="6"/>
      <c r="H397" s="6"/>
      <c r="I397" s="6"/>
      <c r="J397" s="6"/>
      <c r="K397" s="6"/>
      <c r="L397" s="6"/>
      <c r="M397" s="6"/>
      <c r="N397" s="6"/>
      <c r="O397" s="6"/>
      <c r="P397" s="6"/>
      <c r="Q397" s="6"/>
      <c r="R397" s="6"/>
      <c r="S397" s="6"/>
      <c r="T397" s="6"/>
      <c r="U397" s="6"/>
      <c r="V397" s="6"/>
      <c r="W397" s="6"/>
      <c r="X397" s="6"/>
      <c r="Y397" s="6"/>
      <c r="Z397" s="6"/>
    </row>
    <row r="398" ht="18.0" customHeight="1">
      <c r="A398" s="293" t="s">
        <v>2199</v>
      </c>
      <c r="B398" s="299" t="s">
        <v>2200</v>
      </c>
      <c r="C398" s="295"/>
      <c r="D398" s="20"/>
      <c r="E398" s="20"/>
      <c r="F398" s="6"/>
      <c r="G398" s="6"/>
      <c r="H398" s="6"/>
      <c r="I398" s="6"/>
      <c r="J398" s="6"/>
      <c r="K398" s="6"/>
      <c r="L398" s="6"/>
      <c r="M398" s="6"/>
      <c r="N398" s="6"/>
      <c r="O398" s="6"/>
      <c r="P398" s="6"/>
      <c r="Q398" s="6"/>
      <c r="R398" s="6"/>
      <c r="S398" s="6"/>
      <c r="T398" s="6"/>
      <c r="U398" s="6"/>
      <c r="V398" s="6"/>
      <c r="W398" s="6"/>
      <c r="X398" s="6"/>
      <c r="Y398" s="6"/>
      <c r="Z398" s="6"/>
    </row>
    <row r="399" ht="18.0" customHeight="1">
      <c r="A399" s="293" t="s">
        <v>2201</v>
      </c>
      <c r="B399" s="294" t="s">
        <v>2202</v>
      </c>
      <c r="C399" s="295"/>
      <c r="D399" s="20"/>
      <c r="E399" s="20"/>
      <c r="F399" s="6"/>
      <c r="G399" s="6"/>
      <c r="H399" s="6"/>
      <c r="I399" s="6"/>
      <c r="J399" s="6"/>
      <c r="K399" s="6"/>
      <c r="L399" s="6"/>
      <c r="M399" s="6"/>
      <c r="N399" s="6"/>
      <c r="O399" s="6"/>
      <c r="P399" s="6"/>
      <c r="Q399" s="6"/>
      <c r="R399" s="6"/>
      <c r="S399" s="6"/>
      <c r="T399" s="6"/>
      <c r="U399" s="6"/>
      <c r="V399" s="6"/>
      <c r="W399" s="6"/>
      <c r="X399" s="6"/>
      <c r="Y399" s="6"/>
      <c r="Z399" s="6"/>
    </row>
    <row r="400" ht="18.0" customHeight="1">
      <c r="A400" s="293" t="s">
        <v>2203</v>
      </c>
      <c r="B400" s="294" t="s">
        <v>2204</v>
      </c>
      <c r="C400" s="295"/>
      <c r="D400" s="20"/>
      <c r="E400" s="20"/>
      <c r="F400" s="6"/>
      <c r="G400" s="6"/>
      <c r="H400" s="6"/>
      <c r="I400" s="6"/>
      <c r="J400" s="6"/>
      <c r="K400" s="6"/>
      <c r="L400" s="6"/>
      <c r="M400" s="6"/>
      <c r="N400" s="6"/>
      <c r="O400" s="6"/>
      <c r="P400" s="6"/>
      <c r="Q400" s="6"/>
      <c r="R400" s="6"/>
      <c r="S400" s="6"/>
      <c r="T400" s="6"/>
      <c r="U400" s="6"/>
      <c r="V400" s="6"/>
      <c r="W400" s="6"/>
      <c r="X400" s="6"/>
      <c r="Y400" s="6"/>
      <c r="Z400" s="6"/>
    </row>
    <row r="401" ht="18.0" customHeight="1">
      <c r="A401" s="293" t="s">
        <v>2205</v>
      </c>
      <c r="B401" s="294" t="s">
        <v>2206</v>
      </c>
      <c r="C401" s="295"/>
      <c r="D401" s="20"/>
      <c r="E401" s="20"/>
      <c r="F401" s="6"/>
      <c r="G401" s="6"/>
      <c r="H401" s="6"/>
      <c r="I401" s="6"/>
      <c r="J401" s="6"/>
      <c r="K401" s="6"/>
      <c r="L401" s="6"/>
      <c r="M401" s="6"/>
      <c r="N401" s="6"/>
      <c r="O401" s="6"/>
      <c r="P401" s="6"/>
      <c r="Q401" s="6"/>
      <c r="R401" s="6"/>
      <c r="S401" s="6"/>
      <c r="T401" s="6"/>
      <c r="U401" s="6"/>
      <c r="V401" s="6"/>
      <c r="W401" s="6"/>
      <c r="X401" s="6"/>
      <c r="Y401" s="6"/>
      <c r="Z401" s="6"/>
    </row>
    <row r="402" ht="18.0" customHeight="1">
      <c r="A402" s="293" t="s">
        <v>2207</v>
      </c>
      <c r="B402" s="294" t="s">
        <v>2208</v>
      </c>
      <c r="C402" s="295"/>
      <c r="D402" s="20"/>
      <c r="E402" s="20"/>
      <c r="F402" s="6"/>
      <c r="G402" s="6"/>
      <c r="H402" s="6"/>
      <c r="I402" s="6"/>
      <c r="J402" s="6"/>
      <c r="K402" s="6"/>
      <c r="L402" s="6"/>
      <c r="M402" s="6"/>
      <c r="N402" s="6"/>
      <c r="O402" s="6"/>
      <c r="P402" s="6"/>
      <c r="Q402" s="6"/>
      <c r="R402" s="6"/>
      <c r="S402" s="6"/>
      <c r="T402" s="6"/>
      <c r="U402" s="6"/>
      <c r="V402" s="6"/>
      <c r="W402" s="6"/>
      <c r="X402" s="6"/>
      <c r="Y402" s="6"/>
      <c r="Z402" s="6"/>
    </row>
    <row r="403" ht="18.0" customHeight="1">
      <c r="A403" s="293" t="s">
        <v>2209</v>
      </c>
      <c r="B403" s="299" t="s">
        <v>2210</v>
      </c>
      <c r="C403" s="295"/>
      <c r="D403" s="20"/>
      <c r="E403" s="20"/>
      <c r="F403" s="6"/>
      <c r="G403" s="6"/>
      <c r="H403" s="6"/>
      <c r="I403" s="6"/>
      <c r="J403" s="6"/>
      <c r="K403" s="6"/>
      <c r="L403" s="6"/>
      <c r="M403" s="6"/>
      <c r="N403" s="6"/>
      <c r="O403" s="6"/>
      <c r="P403" s="6"/>
      <c r="Q403" s="6"/>
      <c r="R403" s="6"/>
      <c r="S403" s="6"/>
      <c r="T403" s="6"/>
      <c r="U403" s="6"/>
      <c r="V403" s="6"/>
      <c r="W403" s="6"/>
      <c r="X403" s="6"/>
      <c r="Y403" s="6"/>
      <c r="Z403" s="6"/>
    </row>
    <row r="404" ht="18.0" customHeight="1">
      <c r="A404" s="293" t="s">
        <v>2211</v>
      </c>
      <c r="B404" s="294" t="s">
        <v>2212</v>
      </c>
      <c r="C404" s="295"/>
      <c r="D404" s="20"/>
      <c r="E404" s="20"/>
      <c r="F404" s="6"/>
      <c r="G404" s="6"/>
      <c r="H404" s="6"/>
      <c r="I404" s="6"/>
      <c r="J404" s="6"/>
      <c r="K404" s="6"/>
      <c r="L404" s="6"/>
      <c r="M404" s="6"/>
      <c r="N404" s="6"/>
      <c r="O404" s="6"/>
      <c r="P404" s="6"/>
      <c r="Q404" s="6"/>
      <c r="R404" s="6"/>
      <c r="S404" s="6"/>
      <c r="T404" s="6"/>
      <c r="U404" s="6"/>
      <c r="V404" s="6"/>
      <c r="W404" s="6"/>
      <c r="X404" s="6"/>
      <c r="Y404" s="6"/>
      <c r="Z404" s="6"/>
    </row>
    <row r="405" ht="18.0" customHeight="1">
      <c r="A405" s="296" t="s">
        <v>2213</v>
      </c>
      <c r="B405" s="297" t="s">
        <v>2214</v>
      </c>
      <c r="C405" s="298"/>
      <c r="D405" s="20"/>
      <c r="E405" s="20"/>
      <c r="F405" s="6"/>
      <c r="G405" s="6"/>
      <c r="H405" s="6"/>
      <c r="I405" s="6"/>
      <c r="J405" s="6"/>
      <c r="K405" s="6"/>
      <c r="L405" s="6"/>
      <c r="M405" s="6"/>
      <c r="N405" s="6"/>
      <c r="O405" s="6"/>
      <c r="P405" s="6"/>
      <c r="Q405" s="6"/>
      <c r="R405" s="6"/>
      <c r="S405" s="6"/>
      <c r="T405" s="6"/>
      <c r="U405" s="6"/>
      <c r="V405" s="6"/>
      <c r="W405" s="6"/>
      <c r="X405" s="6"/>
      <c r="Y405" s="6"/>
      <c r="Z405" s="6"/>
    </row>
    <row r="406" ht="18.0" customHeight="1">
      <c r="A406" s="293" t="s">
        <v>2215</v>
      </c>
      <c r="B406" s="294" t="s">
        <v>2216</v>
      </c>
      <c r="C406" s="295"/>
      <c r="D406" s="20"/>
      <c r="E406" s="20"/>
      <c r="F406" s="6"/>
      <c r="G406" s="6"/>
      <c r="H406" s="6"/>
      <c r="I406" s="6"/>
      <c r="J406" s="6"/>
      <c r="K406" s="6"/>
      <c r="L406" s="6"/>
      <c r="M406" s="6"/>
      <c r="N406" s="6"/>
      <c r="O406" s="6"/>
      <c r="P406" s="6"/>
      <c r="Q406" s="6"/>
      <c r="R406" s="6"/>
      <c r="S406" s="6"/>
      <c r="T406" s="6"/>
      <c r="U406" s="6"/>
      <c r="V406" s="6"/>
      <c r="W406" s="6"/>
      <c r="X406" s="6"/>
      <c r="Y406" s="6"/>
      <c r="Z406" s="6"/>
    </row>
    <row r="407" ht="18.0" customHeight="1">
      <c r="A407" s="293" t="s">
        <v>2217</v>
      </c>
      <c r="B407" s="294" t="s">
        <v>2218</v>
      </c>
      <c r="C407" s="295"/>
      <c r="D407" s="20"/>
      <c r="E407" s="20"/>
      <c r="F407" s="6"/>
      <c r="G407" s="6"/>
      <c r="H407" s="6"/>
      <c r="I407" s="6"/>
      <c r="J407" s="6"/>
      <c r="K407" s="6"/>
      <c r="L407" s="6"/>
      <c r="M407" s="6"/>
      <c r="N407" s="6"/>
      <c r="O407" s="6"/>
      <c r="P407" s="6"/>
      <c r="Q407" s="6"/>
      <c r="R407" s="6"/>
      <c r="S407" s="6"/>
      <c r="T407" s="6"/>
      <c r="U407" s="6"/>
      <c r="V407" s="6"/>
      <c r="W407" s="6"/>
      <c r="X407" s="6"/>
      <c r="Y407" s="6"/>
      <c r="Z407" s="6"/>
    </row>
    <row r="408" ht="18.0" customHeight="1">
      <c r="A408" s="293" t="s">
        <v>2219</v>
      </c>
      <c r="B408" s="294" t="s">
        <v>2220</v>
      </c>
      <c r="C408" s="295"/>
      <c r="D408" s="20"/>
      <c r="E408" s="20"/>
      <c r="F408" s="6"/>
      <c r="G408" s="6"/>
      <c r="H408" s="6"/>
      <c r="I408" s="6"/>
      <c r="J408" s="6"/>
      <c r="K408" s="6"/>
      <c r="L408" s="6"/>
      <c r="M408" s="6"/>
      <c r="N408" s="6"/>
      <c r="O408" s="6"/>
      <c r="P408" s="6"/>
      <c r="Q408" s="6"/>
      <c r="R408" s="6"/>
      <c r="S408" s="6"/>
      <c r="T408" s="6"/>
      <c r="U408" s="6"/>
      <c r="V408" s="6"/>
      <c r="W408" s="6"/>
      <c r="X408" s="6"/>
      <c r="Y408" s="6"/>
      <c r="Z408" s="6"/>
    </row>
    <row r="409" ht="18.0" customHeight="1">
      <c r="A409" s="293" t="s">
        <v>2221</v>
      </c>
      <c r="B409" s="294" t="s">
        <v>2222</v>
      </c>
      <c r="C409" s="295"/>
      <c r="D409" s="20"/>
      <c r="E409" s="20"/>
      <c r="F409" s="6"/>
      <c r="G409" s="6"/>
      <c r="H409" s="6"/>
      <c r="I409" s="6"/>
      <c r="J409" s="6"/>
      <c r="K409" s="6"/>
      <c r="L409" s="6"/>
      <c r="M409" s="6"/>
      <c r="N409" s="6"/>
      <c r="O409" s="6"/>
      <c r="P409" s="6"/>
      <c r="Q409" s="6"/>
      <c r="R409" s="6"/>
      <c r="S409" s="6"/>
      <c r="T409" s="6"/>
      <c r="U409" s="6"/>
      <c r="V409" s="6"/>
      <c r="W409" s="6"/>
      <c r="X409" s="6"/>
      <c r="Y409" s="6"/>
      <c r="Z409" s="6"/>
    </row>
    <row r="410" ht="18.0" customHeight="1">
      <c r="A410" s="293" t="s">
        <v>2223</v>
      </c>
      <c r="B410" s="294" t="s">
        <v>2224</v>
      </c>
      <c r="C410" s="295"/>
      <c r="D410" s="20"/>
      <c r="E410" s="20"/>
      <c r="F410" s="6"/>
      <c r="G410" s="6"/>
      <c r="H410" s="6"/>
      <c r="I410" s="6"/>
      <c r="J410" s="6"/>
      <c r="K410" s="6"/>
      <c r="L410" s="6"/>
      <c r="M410" s="6"/>
      <c r="N410" s="6"/>
      <c r="O410" s="6"/>
      <c r="P410" s="6"/>
      <c r="Q410" s="6"/>
      <c r="R410" s="6"/>
      <c r="S410" s="6"/>
      <c r="T410" s="6"/>
      <c r="U410" s="6"/>
      <c r="V410" s="6"/>
      <c r="W410" s="6"/>
      <c r="X410" s="6"/>
      <c r="Y410" s="6"/>
      <c r="Z410" s="6"/>
    </row>
    <row r="411" ht="18.0" customHeight="1">
      <c r="A411" s="293" t="s">
        <v>2225</v>
      </c>
      <c r="B411" s="294" t="s">
        <v>2226</v>
      </c>
      <c r="C411" s="295"/>
      <c r="D411" s="20"/>
      <c r="E411" s="20"/>
      <c r="F411" s="6"/>
      <c r="G411" s="6"/>
      <c r="H411" s="6"/>
      <c r="I411" s="6"/>
      <c r="J411" s="6"/>
      <c r="K411" s="6"/>
      <c r="L411" s="6"/>
      <c r="M411" s="6"/>
      <c r="N411" s="6"/>
      <c r="O411" s="6"/>
      <c r="P411" s="6"/>
      <c r="Q411" s="6"/>
      <c r="R411" s="6"/>
      <c r="S411" s="6"/>
      <c r="T411" s="6"/>
      <c r="U411" s="6"/>
      <c r="V411" s="6"/>
      <c r="W411" s="6"/>
      <c r="X411" s="6"/>
      <c r="Y411" s="6"/>
      <c r="Z411" s="6"/>
    </row>
    <row r="412" ht="18.0" customHeight="1">
      <c r="A412" s="293" t="s">
        <v>2227</v>
      </c>
      <c r="B412" s="294" t="s">
        <v>2228</v>
      </c>
      <c r="C412" s="295"/>
      <c r="D412" s="20"/>
      <c r="E412" s="20"/>
      <c r="F412" s="6"/>
      <c r="G412" s="6"/>
      <c r="H412" s="6"/>
      <c r="I412" s="6"/>
      <c r="J412" s="6"/>
      <c r="K412" s="6"/>
      <c r="L412" s="6"/>
      <c r="M412" s="6"/>
      <c r="N412" s="6"/>
      <c r="O412" s="6"/>
      <c r="P412" s="6"/>
      <c r="Q412" s="6"/>
      <c r="R412" s="6"/>
      <c r="S412" s="6"/>
      <c r="T412" s="6"/>
      <c r="U412" s="6"/>
      <c r="V412" s="6"/>
      <c r="W412" s="6"/>
      <c r="X412" s="6"/>
      <c r="Y412" s="6"/>
      <c r="Z412" s="6"/>
    </row>
    <row r="413" ht="18.0" customHeight="1">
      <c r="A413" s="293" t="s">
        <v>2229</v>
      </c>
      <c r="B413" s="294" t="s">
        <v>2230</v>
      </c>
      <c r="C413" s="295"/>
      <c r="D413" s="20"/>
      <c r="E413" s="20"/>
      <c r="F413" s="6"/>
      <c r="G413" s="6"/>
      <c r="H413" s="6"/>
      <c r="I413" s="6"/>
      <c r="J413" s="6"/>
      <c r="K413" s="6"/>
      <c r="L413" s="6"/>
      <c r="M413" s="6"/>
      <c r="N413" s="6"/>
      <c r="O413" s="6"/>
      <c r="P413" s="6"/>
      <c r="Q413" s="6"/>
      <c r="R413" s="6"/>
      <c r="S413" s="6"/>
      <c r="T413" s="6"/>
      <c r="U413" s="6"/>
      <c r="V413" s="6"/>
      <c r="W413" s="6"/>
      <c r="X413" s="6"/>
      <c r="Y413" s="6"/>
      <c r="Z413" s="6"/>
    </row>
    <row r="414" ht="18.0" customHeight="1">
      <c r="A414" s="293" t="s">
        <v>2231</v>
      </c>
      <c r="B414" s="294" t="s">
        <v>2232</v>
      </c>
      <c r="C414" s="295"/>
      <c r="D414" s="20"/>
      <c r="E414" s="20"/>
      <c r="F414" s="6"/>
      <c r="G414" s="6"/>
      <c r="H414" s="6"/>
      <c r="I414" s="6"/>
      <c r="J414" s="6"/>
      <c r="K414" s="6"/>
      <c r="L414" s="6"/>
      <c r="M414" s="6"/>
      <c r="N414" s="6"/>
      <c r="O414" s="6"/>
      <c r="P414" s="6"/>
      <c r="Q414" s="6"/>
      <c r="R414" s="6"/>
      <c r="S414" s="6"/>
      <c r="T414" s="6"/>
      <c r="U414" s="6"/>
      <c r="V414" s="6"/>
      <c r="W414" s="6"/>
      <c r="X414" s="6"/>
      <c r="Y414" s="6"/>
      <c r="Z414" s="6"/>
    </row>
    <row r="415" ht="18.0" customHeight="1">
      <c r="A415" s="293" t="s">
        <v>2233</v>
      </c>
      <c r="B415" s="294" t="s">
        <v>2234</v>
      </c>
      <c r="C415" s="295"/>
      <c r="D415" s="20"/>
      <c r="E415" s="20"/>
      <c r="F415" s="6"/>
      <c r="G415" s="6"/>
      <c r="H415" s="6"/>
      <c r="I415" s="6"/>
      <c r="J415" s="6"/>
      <c r="K415" s="6"/>
      <c r="L415" s="6"/>
      <c r="M415" s="6"/>
      <c r="N415" s="6"/>
      <c r="O415" s="6"/>
      <c r="P415" s="6"/>
      <c r="Q415" s="6"/>
      <c r="R415" s="6"/>
      <c r="S415" s="6"/>
      <c r="T415" s="6"/>
      <c r="U415" s="6"/>
      <c r="V415" s="6"/>
      <c r="W415" s="6"/>
      <c r="X415" s="6"/>
      <c r="Y415" s="6"/>
      <c r="Z415" s="6"/>
    </row>
    <row r="416" ht="18.0" customHeight="1">
      <c r="A416" s="293" t="s">
        <v>2235</v>
      </c>
      <c r="B416" s="294" t="s">
        <v>2236</v>
      </c>
      <c r="C416" s="295"/>
      <c r="D416" s="20"/>
      <c r="E416" s="20"/>
      <c r="F416" s="6"/>
      <c r="G416" s="6"/>
      <c r="H416" s="6"/>
      <c r="I416" s="6"/>
      <c r="J416" s="6"/>
      <c r="K416" s="6"/>
      <c r="L416" s="6"/>
      <c r="M416" s="6"/>
      <c r="N416" s="6"/>
      <c r="O416" s="6"/>
      <c r="P416" s="6"/>
      <c r="Q416" s="6"/>
      <c r="R416" s="6"/>
      <c r="S416" s="6"/>
      <c r="T416" s="6"/>
      <c r="U416" s="6"/>
      <c r="V416" s="6"/>
      <c r="W416" s="6"/>
      <c r="X416" s="6"/>
      <c r="Y416" s="6"/>
      <c r="Z416" s="6"/>
    </row>
    <row r="417" ht="18.0" customHeight="1">
      <c r="A417" s="293" t="s">
        <v>2237</v>
      </c>
      <c r="B417" s="294" t="s">
        <v>2238</v>
      </c>
      <c r="C417" s="295"/>
      <c r="D417" s="20"/>
      <c r="E417" s="20"/>
      <c r="F417" s="6"/>
      <c r="G417" s="6"/>
      <c r="H417" s="6"/>
      <c r="I417" s="6"/>
      <c r="J417" s="6"/>
      <c r="K417" s="6"/>
      <c r="L417" s="6"/>
      <c r="M417" s="6"/>
      <c r="N417" s="6"/>
      <c r="O417" s="6"/>
      <c r="P417" s="6"/>
      <c r="Q417" s="6"/>
      <c r="R417" s="6"/>
      <c r="S417" s="6"/>
      <c r="T417" s="6"/>
      <c r="U417" s="6"/>
      <c r="V417" s="6"/>
      <c r="W417" s="6"/>
      <c r="X417" s="6"/>
      <c r="Y417" s="6"/>
      <c r="Z417" s="6"/>
    </row>
    <row r="418" ht="18.0" customHeight="1">
      <c r="A418" s="293" t="s">
        <v>2239</v>
      </c>
      <c r="B418" s="294" t="s">
        <v>2240</v>
      </c>
      <c r="C418" s="295"/>
      <c r="D418" s="20"/>
      <c r="E418" s="20"/>
      <c r="F418" s="6"/>
      <c r="G418" s="6"/>
      <c r="H418" s="6"/>
      <c r="I418" s="6"/>
      <c r="J418" s="6"/>
      <c r="K418" s="6"/>
      <c r="L418" s="6"/>
      <c r="M418" s="6"/>
      <c r="N418" s="6"/>
      <c r="O418" s="6"/>
      <c r="P418" s="6"/>
      <c r="Q418" s="6"/>
      <c r="R418" s="6"/>
      <c r="S418" s="6"/>
      <c r="T418" s="6"/>
      <c r="U418" s="6"/>
      <c r="V418" s="6"/>
      <c r="W418" s="6"/>
      <c r="X418" s="6"/>
      <c r="Y418" s="6"/>
      <c r="Z418" s="6"/>
    </row>
    <row r="419" ht="18.0" customHeight="1">
      <c r="A419" s="293" t="s">
        <v>2241</v>
      </c>
      <c r="B419" s="294" t="s">
        <v>2242</v>
      </c>
      <c r="C419" s="295"/>
      <c r="D419" s="20"/>
      <c r="E419" s="20"/>
      <c r="F419" s="6"/>
      <c r="G419" s="6"/>
      <c r="H419" s="6"/>
      <c r="I419" s="6"/>
      <c r="J419" s="6"/>
      <c r="K419" s="6"/>
      <c r="L419" s="6"/>
      <c r="M419" s="6"/>
      <c r="N419" s="6"/>
      <c r="O419" s="6"/>
      <c r="P419" s="6"/>
      <c r="Q419" s="6"/>
      <c r="R419" s="6"/>
      <c r="S419" s="6"/>
      <c r="T419" s="6"/>
      <c r="U419" s="6"/>
      <c r="V419" s="6"/>
      <c r="W419" s="6"/>
      <c r="X419" s="6"/>
      <c r="Y419" s="6"/>
      <c r="Z419" s="6"/>
    </row>
    <row r="420" ht="18.0" customHeight="1">
      <c r="A420" s="293" t="s">
        <v>2243</v>
      </c>
      <c r="B420" s="299" t="s">
        <v>2244</v>
      </c>
      <c r="C420" s="295"/>
      <c r="D420" s="20"/>
      <c r="E420" s="20"/>
      <c r="F420" s="6"/>
      <c r="G420" s="6"/>
      <c r="H420" s="6"/>
      <c r="I420" s="6"/>
      <c r="J420" s="6"/>
      <c r="K420" s="6"/>
      <c r="L420" s="6"/>
      <c r="M420" s="6"/>
      <c r="N420" s="6"/>
      <c r="O420" s="6"/>
      <c r="P420" s="6"/>
      <c r="Q420" s="6"/>
      <c r="R420" s="6"/>
      <c r="S420" s="6"/>
      <c r="T420" s="6"/>
      <c r="U420" s="6"/>
      <c r="V420" s="6"/>
      <c r="W420" s="6"/>
      <c r="X420" s="6"/>
      <c r="Y420" s="6"/>
      <c r="Z420" s="6"/>
    </row>
    <row r="421" ht="18.0" customHeight="1">
      <c r="A421" s="293" t="s">
        <v>2245</v>
      </c>
      <c r="B421" s="294" t="s">
        <v>2246</v>
      </c>
      <c r="C421" s="295"/>
      <c r="D421" s="20"/>
      <c r="E421" s="20"/>
      <c r="F421" s="6"/>
      <c r="G421" s="6"/>
      <c r="H421" s="6"/>
      <c r="I421" s="6"/>
      <c r="J421" s="6"/>
      <c r="K421" s="6"/>
      <c r="L421" s="6"/>
      <c r="M421" s="6"/>
      <c r="N421" s="6"/>
      <c r="O421" s="6"/>
      <c r="P421" s="6"/>
      <c r="Q421" s="6"/>
      <c r="R421" s="6"/>
      <c r="S421" s="6"/>
      <c r="T421" s="6"/>
      <c r="U421" s="6"/>
      <c r="V421" s="6"/>
      <c r="W421" s="6"/>
      <c r="X421" s="6"/>
      <c r="Y421" s="6"/>
      <c r="Z421" s="6"/>
    </row>
    <row r="422" ht="18.0" customHeight="1">
      <c r="A422" s="293" t="s">
        <v>2247</v>
      </c>
      <c r="B422" s="294" t="s">
        <v>2248</v>
      </c>
      <c r="C422" s="295"/>
      <c r="D422" s="20"/>
      <c r="E422" s="20"/>
      <c r="F422" s="6"/>
      <c r="G422" s="6"/>
      <c r="H422" s="6"/>
      <c r="I422" s="6"/>
      <c r="J422" s="6"/>
      <c r="K422" s="6"/>
      <c r="L422" s="6"/>
      <c r="M422" s="6"/>
      <c r="N422" s="6"/>
      <c r="O422" s="6"/>
      <c r="P422" s="6"/>
      <c r="Q422" s="6"/>
      <c r="R422" s="6"/>
      <c r="S422" s="6"/>
      <c r="T422" s="6"/>
      <c r="U422" s="6"/>
      <c r="V422" s="6"/>
      <c r="W422" s="6"/>
      <c r="X422" s="6"/>
      <c r="Y422" s="6"/>
      <c r="Z422" s="6"/>
    </row>
    <row r="423" ht="18.0" customHeight="1">
      <c r="A423" s="293" t="s">
        <v>2249</v>
      </c>
      <c r="B423" s="294" t="s">
        <v>2250</v>
      </c>
      <c r="C423" s="295"/>
      <c r="D423" s="20"/>
      <c r="E423" s="20"/>
      <c r="F423" s="6"/>
      <c r="G423" s="6"/>
      <c r="H423" s="6"/>
      <c r="I423" s="6"/>
      <c r="J423" s="6"/>
      <c r="K423" s="6"/>
      <c r="L423" s="6"/>
      <c r="M423" s="6"/>
      <c r="N423" s="6"/>
      <c r="O423" s="6"/>
      <c r="P423" s="6"/>
      <c r="Q423" s="6"/>
      <c r="R423" s="6"/>
      <c r="S423" s="6"/>
      <c r="T423" s="6"/>
      <c r="U423" s="6"/>
      <c r="V423" s="6"/>
      <c r="W423" s="6"/>
      <c r="X423" s="6"/>
      <c r="Y423" s="6"/>
      <c r="Z423" s="6"/>
    </row>
    <row r="424" ht="18.0" customHeight="1">
      <c r="A424" s="293" t="s">
        <v>2251</v>
      </c>
      <c r="B424" s="294" t="s">
        <v>2252</v>
      </c>
      <c r="C424" s="295"/>
      <c r="D424" s="20"/>
      <c r="E424" s="20"/>
      <c r="F424" s="6"/>
      <c r="G424" s="6"/>
      <c r="H424" s="6"/>
      <c r="I424" s="6"/>
      <c r="J424" s="6"/>
      <c r="K424" s="6"/>
      <c r="L424" s="6"/>
      <c r="M424" s="6"/>
      <c r="N424" s="6"/>
      <c r="O424" s="6"/>
      <c r="P424" s="6"/>
      <c r="Q424" s="6"/>
      <c r="R424" s="6"/>
      <c r="S424" s="6"/>
      <c r="T424" s="6"/>
      <c r="U424" s="6"/>
      <c r="V424" s="6"/>
      <c r="W424" s="6"/>
      <c r="X424" s="6"/>
      <c r="Y424" s="6"/>
      <c r="Z424" s="6"/>
    </row>
    <row r="425" ht="18.0" customHeight="1">
      <c r="A425" s="293" t="s">
        <v>2253</v>
      </c>
      <c r="B425" s="294" t="s">
        <v>2254</v>
      </c>
      <c r="C425" s="295"/>
      <c r="D425" s="20"/>
      <c r="E425" s="20"/>
      <c r="F425" s="6"/>
      <c r="G425" s="6"/>
      <c r="H425" s="6"/>
      <c r="I425" s="6"/>
      <c r="J425" s="6"/>
      <c r="K425" s="6"/>
      <c r="L425" s="6"/>
      <c r="M425" s="6"/>
      <c r="N425" s="6"/>
      <c r="O425" s="6"/>
      <c r="P425" s="6"/>
      <c r="Q425" s="6"/>
      <c r="R425" s="6"/>
      <c r="S425" s="6"/>
      <c r="T425" s="6"/>
      <c r="U425" s="6"/>
      <c r="V425" s="6"/>
      <c r="W425" s="6"/>
      <c r="X425" s="6"/>
      <c r="Y425" s="6"/>
      <c r="Z425" s="6"/>
    </row>
    <row r="426" ht="18.0" customHeight="1">
      <c r="A426" s="293" t="s">
        <v>2255</v>
      </c>
      <c r="B426" s="294" t="s">
        <v>2256</v>
      </c>
      <c r="C426" s="295"/>
      <c r="D426" s="20"/>
      <c r="E426" s="20"/>
      <c r="F426" s="6"/>
      <c r="G426" s="6"/>
      <c r="H426" s="6"/>
      <c r="I426" s="6"/>
      <c r="J426" s="6"/>
      <c r="K426" s="6"/>
      <c r="L426" s="6"/>
      <c r="M426" s="6"/>
      <c r="N426" s="6"/>
      <c r="O426" s="6"/>
      <c r="P426" s="6"/>
      <c r="Q426" s="6"/>
      <c r="R426" s="6"/>
      <c r="S426" s="6"/>
      <c r="T426" s="6"/>
      <c r="U426" s="6"/>
      <c r="V426" s="6"/>
      <c r="W426" s="6"/>
      <c r="X426" s="6"/>
      <c r="Y426" s="6"/>
      <c r="Z426" s="6"/>
    </row>
    <row r="427" ht="18.0" customHeight="1">
      <c r="A427" s="293" t="s">
        <v>2257</v>
      </c>
      <c r="B427" s="294" t="s">
        <v>2258</v>
      </c>
      <c r="C427" s="295"/>
      <c r="D427" s="20"/>
      <c r="E427" s="20"/>
      <c r="F427" s="6"/>
      <c r="G427" s="6"/>
      <c r="H427" s="6"/>
      <c r="I427" s="6"/>
      <c r="J427" s="6"/>
      <c r="K427" s="6"/>
      <c r="L427" s="6"/>
      <c r="M427" s="6"/>
      <c r="N427" s="6"/>
      <c r="O427" s="6"/>
      <c r="P427" s="6"/>
      <c r="Q427" s="6"/>
      <c r="R427" s="6"/>
      <c r="S427" s="6"/>
      <c r="T427" s="6"/>
      <c r="U427" s="6"/>
      <c r="V427" s="6"/>
      <c r="W427" s="6"/>
      <c r="X427" s="6"/>
      <c r="Y427" s="6"/>
      <c r="Z427" s="6"/>
    </row>
    <row r="428" ht="18.0" customHeight="1">
      <c r="A428" s="293" t="s">
        <v>2259</v>
      </c>
      <c r="B428" s="294" t="s">
        <v>2260</v>
      </c>
      <c r="C428" s="295"/>
      <c r="D428" s="20"/>
      <c r="E428" s="20"/>
      <c r="F428" s="6"/>
      <c r="G428" s="6"/>
      <c r="H428" s="6"/>
      <c r="I428" s="6"/>
      <c r="J428" s="6"/>
      <c r="K428" s="6"/>
      <c r="L428" s="6"/>
      <c r="M428" s="6"/>
      <c r="N428" s="6"/>
      <c r="O428" s="6"/>
      <c r="P428" s="6"/>
      <c r="Q428" s="6"/>
      <c r="R428" s="6"/>
      <c r="S428" s="6"/>
      <c r="T428" s="6"/>
      <c r="U428" s="6"/>
      <c r="V428" s="6"/>
      <c r="W428" s="6"/>
      <c r="X428" s="6"/>
      <c r="Y428" s="6"/>
      <c r="Z428" s="6"/>
    </row>
    <row r="429" ht="18.0" customHeight="1">
      <c r="A429" s="293" t="s">
        <v>2261</v>
      </c>
      <c r="B429" s="299" t="s">
        <v>2262</v>
      </c>
      <c r="C429" s="295"/>
      <c r="D429" s="20"/>
      <c r="E429" s="20"/>
      <c r="F429" s="6"/>
      <c r="G429" s="6"/>
      <c r="H429" s="6"/>
      <c r="I429" s="6"/>
      <c r="J429" s="6"/>
      <c r="K429" s="6"/>
      <c r="L429" s="6"/>
      <c r="M429" s="6"/>
      <c r="N429" s="6"/>
      <c r="O429" s="6"/>
      <c r="P429" s="6"/>
      <c r="Q429" s="6"/>
      <c r="R429" s="6"/>
      <c r="S429" s="6"/>
      <c r="T429" s="6"/>
      <c r="U429" s="6"/>
      <c r="V429" s="6"/>
      <c r="W429" s="6"/>
      <c r="X429" s="6"/>
      <c r="Y429" s="6"/>
      <c r="Z429" s="6"/>
    </row>
    <row r="430" ht="18.0" customHeight="1">
      <c r="A430" s="293" t="s">
        <v>2263</v>
      </c>
      <c r="B430" s="294" t="s">
        <v>2264</v>
      </c>
      <c r="C430" s="295"/>
      <c r="D430" s="20"/>
      <c r="E430" s="20"/>
      <c r="F430" s="6"/>
      <c r="G430" s="6"/>
      <c r="H430" s="6"/>
      <c r="I430" s="6"/>
      <c r="J430" s="6"/>
      <c r="K430" s="6"/>
      <c r="L430" s="6"/>
      <c r="M430" s="6"/>
      <c r="N430" s="6"/>
      <c r="O430" s="6"/>
      <c r="P430" s="6"/>
      <c r="Q430" s="6"/>
      <c r="R430" s="6"/>
      <c r="S430" s="6"/>
      <c r="T430" s="6"/>
      <c r="U430" s="6"/>
      <c r="V430" s="6"/>
      <c r="W430" s="6"/>
      <c r="X430" s="6"/>
      <c r="Y430" s="6"/>
      <c r="Z430" s="6"/>
    </row>
    <row r="431" ht="18.0" customHeight="1">
      <c r="A431" s="293" t="s">
        <v>2265</v>
      </c>
      <c r="B431" s="294" t="s">
        <v>2266</v>
      </c>
      <c r="C431" s="295"/>
      <c r="D431" s="20"/>
      <c r="E431" s="20"/>
      <c r="F431" s="6"/>
      <c r="G431" s="6"/>
      <c r="H431" s="6"/>
      <c r="I431" s="6"/>
      <c r="J431" s="6"/>
      <c r="K431" s="6"/>
      <c r="L431" s="6"/>
      <c r="M431" s="6"/>
      <c r="N431" s="6"/>
      <c r="O431" s="6"/>
      <c r="P431" s="6"/>
      <c r="Q431" s="6"/>
      <c r="R431" s="6"/>
      <c r="S431" s="6"/>
      <c r="T431" s="6"/>
      <c r="U431" s="6"/>
      <c r="V431" s="6"/>
      <c r="W431" s="6"/>
      <c r="X431" s="6"/>
      <c r="Y431" s="6"/>
      <c r="Z431" s="6"/>
    </row>
    <row r="432" ht="18.0" customHeight="1">
      <c r="A432" s="293" t="s">
        <v>2267</v>
      </c>
      <c r="B432" s="294" t="s">
        <v>2268</v>
      </c>
      <c r="C432" s="295"/>
      <c r="D432" s="20"/>
      <c r="E432" s="20"/>
      <c r="F432" s="6"/>
      <c r="G432" s="6"/>
      <c r="H432" s="6"/>
      <c r="I432" s="6"/>
      <c r="J432" s="6"/>
      <c r="K432" s="6"/>
      <c r="L432" s="6"/>
      <c r="M432" s="6"/>
      <c r="N432" s="6"/>
      <c r="O432" s="6"/>
      <c r="P432" s="6"/>
      <c r="Q432" s="6"/>
      <c r="R432" s="6"/>
      <c r="S432" s="6"/>
      <c r="T432" s="6"/>
      <c r="U432" s="6"/>
      <c r="V432" s="6"/>
      <c r="W432" s="6"/>
      <c r="X432" s="6"/>
      <c r="Y432" s="6"/>
      <c r="Z432" s="6"/>
    </row>
    <row r="433" ht="18.0" customHeight="1">
      <c r="A433" s="293" t="s">
        <v>2269</v>
      </c>
      <c r="B433" s="294" t="s">
        <v>2270</v>
      </c>
      <c r="C433" s="295"/>
      <c r="D433" s="20"/>
      <c r="E433" s="20"/>
      <c r="F433" s="6"/>
      <c r="G433" s="6"/>
      <c r="H433" s="6"/>
      <c r="I433" s="6"/>
      <c r="J433" s="6"/>
      <c r="K433" s="6"/>
      <c r="L433" s="6"/>
      <c r="M433" s="6"/>
      <c r="N433" s="6"/>
      <c r="O433" s="6"/>
      <c r="P433" s="6"/>
      <c r="Q433" s="6"/>
      <c r="R433" s="6"/>
      <c r="S433" s="6"/>
      <c r="T433" s="6"/>
      <c r="U433" s="6"/>
      <c r="V433" s="6"/>
      <c r="W433" s="6"/>
      <c r="X433" s="6"/>
      <c r="Y433" s="6"/>
      <c r="Z433" s="6"/>
    </row>
    <row r="434" ht="18.0" customHeight="1">
      <c r="A434" s="293" t="s">
        <v>2271</v>
      </c>
      <c r="B434" s="294" t="s">
        <v>2272</v>
      </c>
      <c r="C434" s="295"/>
      <c r="D434" s="20"/>
      <c r="E434" s="20"/>
      <c r="F434" s="6"/>
      <c r="G434" s="6"/>
      <c r="H434" s="6"/>
      <c r="I434" s="6"/>
      <c r="J434" s="6"/>
      <c r="K434" s="6"/>
      <c r="L434" s="6"/>
      <c r="M434" s="6"/>
      <c r="N434" s="6"/>
      <c r="O434" s="6"/>
      <c r="P434" s="6"/>
      <c r="Q434" s="6"/>
      <c r="R434" s="6"/>
      <c r="S434" s="6"/>
      <c r="T434" s="6"/>
      <c r="U434" s="6"/>
      <c r="V434" s="6"/>
      <c r="W434" s="6"/>
      <c r="X434" s="6"/>
      <c r="Y434" s="6"/>
      <c r="Z434" s="6"/>
    </row>
    <row r="435" ht="18.0" customHeight="1">
      <c r="A435" s="293" t="s">
        <v>2273</v>
      </c>
      <c r="B435" s="294" t="s">
        <v>2274</v>
      </c>
      <c r="C435" s="295"/>
      <c r="D435" s="20"/>
      <c r="E435" s="20"/>
      <c r="F435" s="6"/>
      <c r="G435" s="6"/>
      <c r="H435" s="6"/>
      <c r="I435" s="6"/>
      <c r="J435" s="6"/>
      <c r="K435" s="6"/>
      <c r="L435" s="6"/>
      <c r="M435" s="6"/>
      <c r="N435" s="6"/>
      <c r="O435" s="6"/>
      <c r="P435" s="6"/>
      <c r="Q435" s="6"/>
      <c r="R435" s="6"/>
      <c r="S435" s="6"/>
      <c r="T435" s="6"/>
      <c r="U435" s="6"/>
      <c r="V435" s="6"/>
      <c r="W435" s="6"/>
      <c r="X435" s="6"/>
      <c r="Y435" s="6"/>
      <c r="Z435" s="6"/>
    </row>
    <row r="436" ht="18.0" customHeight="1">
      <c r="A436" s="293" t="s">
        <v>2275</v>
      </c>
      <c r="B436" s="294" t="s">
        <v>2276</v>
      </c>
      <c r="C436" s="295"/>
      <c r="D436" s="20"/>
      <c r="E436" s="20"/>
      <c r="F436" s="6"/>
      <c r="G436" s="6"/>
      <c r="H436" s="6"/>
      <c r="I436" s="6"/>
      <c r="J436" s="6"/>
      <c r="K436" s="6"/>
      <c r="L436" s="6"/>
      <c r="M436" s="6"/>
      <c r="N436" s="6"/>
      <c r="O436" s="6"/>
      <c r="P436" s="6"/>
      <c r="Q436" s="6"/>
      <c r="R436" s="6"/>
      <c r="S436" s="6"/>
      <c r="T436" s="6"/>
      <c r="U436" s="6"/>
      <c r="V436" s="6"/>
      <c r="W436" s="6"/>
      <c r="X436" s="6"/>
      <c r="Y436" s="6"/>
      <c r="Z436" s="6"/>
    </row>
    <row r="437" ht="18.0" customHeight="1">
      <c r="A437" s="293" t="s">
        <v>2277</v>
      </c>
      <c r="B437" s="294" t="s">
        <v>2278</v>
      </c>
      <c r="C437" s="295"/>
      <c r="D437" s="20"/>
      <c r="E437" s="20"/>
      <c r="F437" s="6"/>
      <c r="G437" s="6"/>
      <c r="H437" s="6"/>
      <c r="I437" s="6"/>
      <c r="J437" s="6"/>
      <c r="K437" s="6"/>
      <c r="L437" s="6"/>
      <c r="M437" s="6"/>
      <c r="N437" s="6"/>
      <c r="O437" s="6"/>
      <c r="P437" s="6"/>
      <c r="Q437" s="6"/>
      <c r="R437" s="6"/>
      <c r="S437" s="6"/>
      <c r="T437" s="6"/>
      <c r="U437" s="6"/>
      <c r="V437" s="6"/>
      <c r="W437" s="6"/>
      <c r="X437" s="6"/>
      <c r="Y437" s="6"/>
      <c r="Z437" s="6"/>
    </row>
    <row r="438" ht="18.0" customHeight="1">
      <c r="A438" s="293" t="s">
        <v>2279</v>
      </c>
      <c r="B438" s="294" t="s">
        <v>2280</v>
      </c>
      <c r="C438" s="295"/>
      <c r="D438" s="20"/>
      <c r="E438" s="20"/>
      <c r="F438" s="6"/>
      <c r="G438" s="6"/>
      <c r="H438" s="6"/>
      <c r="I438" s="6"/>
      <c r="J438" s="6"/>
      <c r="K438" s="6"/>
      <c r="L438" s="6"/>
      <c r="M438" s="6"/>
      <c r="N438" s="6"/>
      <c r="O438" s="6"/>
      <c r="P438" s="6"/>
      <c r="Q438" s="6"/>
      <c r="R438" s="6"/>
      <c r="S438" s="6"/>
      <c r="T438" s="6"/>
      <c r="U438" s="6"/>
      <c r="V438" s="6"/>
      <c r="W438" s="6"/>
      <c r="X438" s="6"/>
      <c r="Y438" s="6"/>
      <c r="Z438" s="6"/>
    </row>
    <row r="439" ht="18.0" customHeight="1">
      <c r="A439" s="293" t="s">
        <v>2281</v>
      </c>
      <c r="B439" s="294" t="s">
        <v>2282</v>
      </c>
      <c r="C439" s="295"/>
      <c r="D439" s="20"/>
      <c r="E439" s="20"/>
      <c r="F439" s="6"/>
      <c r="G439" s="6"/>
      <c r="H439" s="6"/>
      <c r="I439" s="6"/>
      <c r="J439" s="6"/>
      <c r="K439" s="6"/>
      <c r="L439" s="6"/>
      <c r="M439" s="6"/>
      <c r="N439" s="6"/>
      <c r="O439" s="6"/>
      <c r="P439" s="6"/>
      <c r="Q439" s="6"/>
      <c r="R439" s="6"/>
      <c r="S439" s="6"/>
      <c r="T439" s="6"/>
      <c r="U439" s="6"/>
      <c r="V439" s="6"/>
      <c r="W439" s="6"/>
      <c r="X439" s="6"/>
      <c r="Y439" s="6"/>
      <c r="Z439" s="6"/>
    </row>
    <row r="440" ht="18.0" customHeight="1">
      <c r="A440" s="293" t="s">
        <v>2283</v>
      </c>
      <c r="B440" s="299" t="s">
        <v>2284</v>
      </c>
      <c r="C440" s="295"/>
      <c r="D440" s="20"/>
      <c r="E440" s="20"/>
      <c r="F440" s="6"/>
      <c r="G440" s="6"/>
      <c r="H440" s="6"/>
      <c r="I440" s="6"/>
      <c r="J440" s="6"/>
      <c r="K440" s="6"/>
      <c r="L440" s="6"/>
      <c r="M440" s="6"/>
      <c r="N440" s="6"/>
      <c r="O440" s="6"/>
      <c r="P440" s="6"/>
      <c r="Q440" s="6"/>
      <c r="R440" s="6"/>
      <c r="S440" s="6"/>
      <c r="T440" s="6"/>
      <c r="U440" s="6"/>
      <c r="V440" s="6"/>
      <c r="W440" s="6"/>
      <c r="X440" s="6"/>
      <c r="Y440" s="6"/>
      <c r="Z440" s="6"/>
    </row>
    <row r="441" ht="18.0" customHeight="1">
      <c r="A441" s="293" t="s">
        <v>2285</v>
      </c>
      <c r="B441" s="294" t="s">
        <v>2286</v>
      </c>
      <c r="C441" s="295"/>
      <c r="D441" s="20"/>
      <c r="E441" s="20"/>
      <c r="F441" s="6"/>
      <c r="G441" s="6"/>
      <c r="H441" s="6"/>
      <c r="I441" s="6"/>
      <c r="J441" s="6"/>
      <c r="K441" s="6"/>
      <c r="L441" s="6"/>
      <c r="M441" s="6"/>
      <c r="N441" s="6"/>
      <c r="O441" s="6"/>
      <c r="P441" s="6"/>
      <c r="Q441" s="6"/>
      <c r="R441" s="6"/>
      <c r="S441" s="6"/>
      <c r="T441" s="6"/>
      <c r="U441" s="6"/>
      <c r="V441" s="6"/>
      <c r="W441" s="6"/>
      <c r="X441" s="6"/>
      <c r="Y441" s="6"/>
      <c r="Z441" s="6"/>
    </row>
    <row r="442" ht="18.0" customHeight="1">
      <c r="A442" s="293" t="s">
        <v>2287</v>
      </c>
      <c r="B442" s="294" t="s">
        <v>2288</v>
      </c>
      <c r="C442" s="295"/>
      <c r="D442" s="20"/>
      <c r="E442" s="20"/>
      <c r="F442" s="6"/>
      <c r="G442" s="6"/>
      <c r="H442" s="6"/>
      <c r="I442" s="6"/>
      <c r="J442" s="6"/>
      <c r="K442" s="6"/>
      <c r="L442" s="6"/>
      <c r="M442" s="6"/>
      <c r="N442" s="6"/>
      <c r="O442" s="6"/>
      <c r="P442" s="6"/>
      <c r="Q442" s="6"/>
      <c r="R442" s="6"/>
      <c r="S442" s="6"/>
      <c r="T442" s="6"/>
      <c r="U442" s="6"/>
      <c r="V442" s="6"/>
      <c r="W442" s="6"/>
      <c r="X442" s="6"/>
      <c r="Y442" s="6"/>
      <c r="Z442" s="6"/>
    </row>
    <row r="443" ht="18.0" customHeight="1">
      <c r="A443" s="293" t="s">
        <v>2289</v>
      </c>
      <c r="B443" s="294" t="s">
        <v>2290</v>
      </c>
      <c r="C443" s="295"/>
      <c r="D443" s="20"/>
      <c r="E443" s="20"/>
      <c r="F443" s="6"/>
      <c r="G443" s="6"/>
      <c r="H443" s="6"/>
      <c r="I443" s="6"/>
      <c r="J443" s="6"/>
      <c r="K443" s="6"/>
      <c r="L443" s="6"/>
      <c r="M443" s="6"/>
      <c r="N443" s="6"/>
      <c r="O443" s="6"/>
      <c r="P443" s="6"/>
      <c r="Q443" s="6"/>
      <c r="R443" s="6"/>
      <c r="S443" s="6"/>
      <c r="T443" s="6"/>
      <c r="U443" s="6"/>
      <c r="V443" s="6"/>
      <c r="W443" s="6"/>
      <c r="X443" s="6"/>
      <c r="Y443" s="6"/>
      <c r="Z443" s="6"/>
    </row>
    <row r="444" ht="18.0" customHeight="1">
      <c r="A444" s="293" t="s">
        <v>2291</v>
      </c>
      <c r="B444" s="294" t="s">
        <v>2292</v>
      </c>
      <c r="C444" s="295"/>
      <c r="D444" s="20"/>
      <c r="E444" s="20"/>
      <c r="F444" s="6"/>
      <c r="G444" s="6"/>
      <c r="H444" s="6"/>
      <c r="I444" s="6"/>
      <c r="J444" s="6"/>
      <c r="K444" s="6"/>
      <c r="L444" s="6"/>
      <c r="M444" s="6"/>
      <c r="N444" s="6"/>
      <c r="O444" s="6"/>
      <c r="P444" s="6"/>
      <c r="Q444" s="6"/>
      <c r="R444" s="6"/>
      <c r="S444" s="6"/>
      <c r="T444" s="6"/>
      <c r="U444" s="6"/>
      <c r="V444" s="6"/>
      <c r="W444" s="6"/>
      <c r="X444" s="6"/>
      <c r="Y444" s="6"/>
      <c r="Z444" s="6"/>
    </row>
    <row r="445" ht="18.0" customHeight="1">
      <c r="A445" s="293" t="s">
        <v>2293</v>
      </c>
      <c r="B445" s="294" t="s">
        <v>2294</v>
      </c>
      <c r="C445" s="295"/>
      <c r="D445" s="20"/>
      <c r="E445" s="20"/>
      <c r="F445" s="6"/>
      <c r="G445" s="6"/>
      <c r="H445" s="6"/>
      <c r="I445" s="6"/>
      <c r="J445" s="6"/>
      <c r="K445" s="6"/>
      <c r="L445" s="6"/>
      <c r="M445" s="6"/>
      <c r="N445" s="6"/>
      <c r="O445" s="6"/>
      <c r="P445" s="6"/>
      <c r="Q445" s="6"/>
      <c r="R445" s="6"/>
      <c r="S445" s="6"/>
      <c r="T445" s="6"/>
      <c r="U445" s="6"/>
      <c r="V445" s="6"/>
      <c r="W445" s="6"/>
      <c r="X445" s="6"/>
      <c r="Y445" s="6"/>
      <c r="Z445" s="6"/>
    </row>
    <row r="446" ht="18.0" customHeight="1">
      <c r="A446" s="293" t="s">
        <v>2295</v>
      </c>
      <c r="B446" s="294" t="s">
        <v>2296</v>
      </c>
      <c r="C446" s="295"/>
      <c r="D446" s="20"/>
      <c r="E446" s="20"/>
      <c r="F446" s="6"/>
      <c r="G446" s="6"/>
      <c r="H446" s="6"/>
      <c r="I446" s="6"/>
      <c r="J446" s="6"/>
      <c r="K446" s="6"/>
      <c r="L446" s="6"/>
      <c r="M446" s="6"/>
      <c r="N446" s="6"/>
      <c r="O446" s="6"/>
      <c r="P446" s="6"/>
      <c r="Q446" s="6"/>
      <c r="R446" s="6"/>
      <c r="S446" s="6"/>
      <c r="T446" s="6"/>
      <c r="U446" s="6"/>
      <c r="V446" s="6"/>
      <c r="W446" s="6"/>
      <c r="X446" s="6"/>
      <c r="Y446" s="6"/>
      <c r="Z446" s="6"/>
    </row>
    <row r="447" ht="18.0" customHeight="1">
      <c r="A447" s="293" t="s">
        <v>2297</v>
      </c>
      <c r="B447" s="294" t="s">
        <v>2298</v>
      </c>
      <c r="C447" s="295"/>
      <c r="D447" s="20"/>
      <c r="E447" s="20"/>
      <c r="F447" s="6"/>
      <c r="G447" s="6"/>
      <c r="H447" s="6"/>
      <c r="I447" s="6"/>
      <c r="J447" s="6"/>
      <c r="K447" s="6"/>
      <c r="L447" s="6"/>
      <c r="M447" s="6"/>
      <c r="N447" s="6"/>
      <c r="O447" s="6"/>
      <c r="P447" s="6"/>
      <c r="Q447" s="6"/>
      <c r="R447" s="6"/>
      <c r="S447" s="6"/>
      <c r="T447" s="6"/>
      <c r="U447" s="6"/>
      <c r="V447" s="6"/>
      <c r="W447" s="6"/>
      <c r="X447" s="6"/>
      <c r="Y447" s="6"/>
      <c r="Z447" s="6"/>
    </row>
    <row r="448" ht="18.0" customHeight="1">
      <c r="A448" s="293" t="s">
        <v>2299</v>
      </c>
      <c r="B448" s="294" t="s">
        <v>2300</v>
      </c>
      <c r="C448" s="295"/>
      <c r="D448" s="20"/>
      <c r="E448" s="20"/>
      <c r="F448" s="6"/>
      <c r="G448" s="6"/>
      <c r="H448" s="6"/>
      <c r="I448" s="6"/>
      <c r="J448" s="6"/>
      <c r="K448" s="6"/>
      <c r="L448" s="6"/>
      <c r="M448" s="6"/>
      <c r="N448" s="6"/>
      <c r="O448" s="6"/>
      <c r="P448" s="6"/>
      <c r="Q448" s="6"/>
      <c r="R448" s="6"/>
      <c r="S448" s="6"/>
      <c r="T448" s="6"/>
      <c r="U448" s="6"/>
      <c r="V448" s="6"/>
      <c r="W448" s="6"/>
      <c r="X448" s="6"/>
      <c r="Y448" s="6"/>
      <c r="Z448" s="6"/>
    </row>
    <row r="449" ht="18.0" customHeight="1">
      <c r="A449" s="293" t="s">
        <v>2301</v>
      </c>
      <c r="B449" s="299" t="s">
        <v>2302</v>
      </c>
      <c r="C449" s="295"/>
      <c r="D449" s="20"/>
      <c r="E449" s="20"/>
      <c r="F449" s="6"/>
      <c r="G449" s="6"/>
      <c r="H449" s="6"/>
      <c r="I449" s="6"/>
      <c r="J449" s="6"/>
      <c r="K449" s="6"/>
      <c r="L449" s="6"/>
      <c r="M449" s="6"/>
      <c r="N449" s="6"/>
      <c r="O449" s="6"/>
      <c r="P449" s="6"/>
      <c r="Q449" s="6"/>
      <c r="R449" s="6"/>
      <c r="S449" s="6"/>
      <c r="T449" s="6"/>
      <c r="U449" s="6"/>
      <c r="V449" s="6"/>
      <c r="W449" s="6"/>
      <c r="X449" s="6"/>
      <c r="Y449" s="6"/>
      <c r="Z449" s="6"/>
    </row>
    <row r="450" ht="18.0" customHeight="1">
      <c r="A450" s="293" t="s">
        <v>2303</v>
      </c>
      <c r="B450" s="294" t="s">
        <v>2304</v>
      </c>
      <c r="C450" s="295"/>
      <c r="D450" s="20"/>
      <c r="E450" s="20"/>
      <c r="F450" s="6"/>
      <c r="G450" s="6"/>
      <c r="H450" s="6"/>
      <c r="I450" s="6"/>
      <c r="J450" s="6"/>
      <c r="K450" s="6"/>
      <c r="L450" s="6"/>
      <c r="M450" s="6"/>
      <c r="N450" s="6"/>
      <c r="O450" s="6"/>
      <c r="P450" s="6"/>
      <c r="Q450" s="6"/>
      <c r="R450" s="6"/>
      <c r="S450" s="6"/>
      <c r="T450" s="6"/>
      <c r="U450" s="6"/>
      <c r="V450" s="6"/>
      <c r="W450" s="6"/>
      <c r="X450" s="6"/>
      <c r="Y450" s="6"/>
      <c r="Z450" s="6"/>
    </row>
    <row r="451" ht="18.0" customHeight="1">
      <c r="A451" s="293" t="s">
        <v>2305</v>
      </c>
      <c r="B451" s="294" t="s">
        <v>2306</v>
      </c>
      <c r="C451" s="295"/>
      <c r="D451" s="20"/>
      <c r="E451" s="20"/>
      <c r="F451" s="6"/>
      <c r="G451" s="6"/>
      <c r="H451" s="6"/>
      <c r="I451" s="6"/>
      <c r="J451" s="6"/>
      <c r="K451" s="6"/>
      <c r="L451" s="6"/>
      <c r="M451" s="6"/>
      <c r="N451" s="6"/>
      <c r="O451" s="6"/>
      <c r="P451" s="6"/>
      <c r="Q451" s="6"/>
      <c r="R451" s="6"/>
      <c r="S451" s="6"/>
      <c r="T451" s="6"/>
      <c r="U451" s="6"/>
      <c r="V451" s="6"/>
      <c r="W451" s="6"/>
      <c r="X451" s="6"/>
      <c r="Y451" s="6"/>
      <c r="Z451" s="6"/>
    </row>
    <row r="452" ht="18.0" customHeight="1">
      <c r="A452" s="293" t="s">
        <v>2307</v>
      </c>
      <c r="B452" s="294" t="s">
        <v>2308</v>
      </c>
      <c r="C452" s="295"/>
      <c r="D452" s="20"/>
      <c r="E452" s="20"/>
      <c r="F452" s="6"/>
      <c r="G452" s="6"/>
      <c r="H452" s="6"/>
      <c r="I452" s="6"/>
      <c r="J452" s="6"/>
      <c r="K452" s="6"/>
      <c r="L452" s="6"/>
      <c r="M452" s="6"/>
      <c r="N452" s="6"/>
      <c r="O452" s="6"/>
      <c r="P452" s="6"/>
      <c r="Q452" s="6"/>
      <c r="R452" s="6"/>
      <c r="S452" s="6"/>
      <c r="T452" s="6"/>
      <c r="U452" s="6"/>
      <c r="V452" s="6"/>
      <c r="W452" s="6"/>
      <c r="X452" s="6"/>
      <c r="Y452" s="6"/>
      <c r="Z452" s="6"/>
    </row>
    <row r="453" ht="18.0" customHeight="1">
      <c r="A453" s="293" t="s">
        <v>2309</v>
      </c>
      <c r="B453" s="299" t="s">
        <v>2310</v>
      </c>
      <c r="C453" s="295"/>
      <c r="D453" s="20"/>
      <c r="E453" s="20"/>
      <c r="F453" s="6"/>
      <c r="G453" s="6"/>
      <c r="H453" s="6"/>
      <c r="I453" s="6"/>
      <c r="J453" s="6"/>
      <c r="K453" s="6"/>
      <c r="L453" s="6"/>
      <c r="M453" s="6"/>
      <c r="N453" s="6"/>
      <c r="O453" s="6"/>
      <c r="P453" s="6"/>
      <c r="Q453" s="6"/>
      <c r="R453" s="6"/>
      <c r="S453" s="6"/>
      <c r="T453" s="6"/>
      <c r="U453" s="6"/>
      <c r="V453" s="6"/>
      <c r="W453" s="6"/>
      <c r="X453" s="6"/>
      <c r="Y453" s="6"/>
      <c r="Z453" s="6"/>
    </row>
    <row r="454" ht="18.0" customHeight="1">
      <c r="A454" s="293" t="s">
        <v>2311</v>
      </c>
      <c r="B454" s="299" t="s">
        <v>2312</v>
      </c>
      <c r="C454" s="295"/>
      <c r="D454" s="20"/>
      <c r="E454" s="20"/>
      <c r="F454" s="6"/>
      <c r="G454" s="6"/>
      <c r="H454" s="6"/>
      <c r="I454" s="6"/>
      <c r="J454" s="6"/>
      <c r="K454" s="6"/>
      <c r="L454" s="6"/>
      <c r="M454" s="6"/>
      <c r="N454" s="6"/>
      <c r="O454" s="6"/>
      <c r="P454" s="6"/>
      <c r="Q454" s="6"/>
      <c r="R454" s="6"/>
      <c r="S454" s="6"/>
      <c r="T454" s="6"/>
      <c r="U454" s="6"/>
      <c r="V454" s="6"/>
      <c r="W454" s="6"/>
      <c r="X454" s="6"/>
      <c r="Y454" s="6"/>
      <c r="Z454" s="6"/>
    </row>
    <row r="455" ht="18.0" customHeight="1">
      <c r="A455" s="293" t="s">
        <v>2313</v>
      </c>
      <c r="B455" s="294" t="s">
        <v>2314</v>
      </c>
      <c r="C455" s="295"/>
      <c r="D455" s="20"/>
      <c r="E455" s="20"/>
      <c r="F455" s="6"/>
      <c r="G455" s="6"/>
      <c r="H455" s="6"/>
      <c r="I455" s="6"/>
      <c r="J455" s="6"/>
      <c r="K455" s="6"/>
      <c r="L455" s="6"/>
      <c r="M455" s="6"/>
      <c r="N455" s="6"/>
      <c r="O455" s="6"/>
      <c r="P455" s="6"/>
      <c r="Q455" s="6"/>
      <c r="R455" s="6"/>
      <c r="S455" s="6"/>
      <c r="T455" s="6"/>
      <c r="U455" s="6"/>
      <c r="V455" s="6"/>
      <c r="W455" s="6"/>
      <c r="X455" s="6"/>
      <c r="Y455" s="6"/>
      <c r="Z455" s="6"/>
    </row>
    <row r="456" ht="18.0" customHeight="1">
      <c r="A456" s="293" t="s">
        <v>2315</v>
      </c>
      <c r="B456" s="294" t="s">
        <v>2316</v>
      </c>
      <c r="C456" s="295"/>
      <c r="D456" s="20"/>
      <c r="E456" s="20"/>
      <c r="F456" s="6"/>
      <c r="G456" s="6"/>
      <c r="H456" s="6"/>
      <c r="I456" s="6"/>
      <c r="J456" s="6"/>
      <c r="K456" s="6"/>
      <c r="L456" s="6"/>
      <c r="M456" s="6"/>
      <c r="N456" s="6"/>
      <c r="O456" s="6"/>
      <c r="P456" s="6"/>
      <c r="Q456" s="6"/>
      <c r="R456" s="6"/>
      <c r="S456" s="6"/>
      <c r="T456" s="6"/>
      <c r="U456" s="6"/>
      <c r="V456" s="6"/>
      <c r="W456" s="6"/>
      <c r="X456" s="6"/>
      <c r="Y456" s="6"/>
      <c r="Z456" s="6"/>
    </row>
    <row r="457" ht="18.0" customHeight="1">
      <c r="A457" s="300" t="s">
        <v>2317</v>
      </c>
      <c r="B457" s="294" t="s">
        <v>2318</v>
      </c>
      <c r="C457" s="295"/>
      <c r="D457" s="20"/>
      <c r="E457" s="20"/>
      <c r="F457" s="6"/>
      <c r="G457" s="6"/>
      <c r="H457" s="6"/>
      <c r="I457" s="6"/>
      <c r="J457" s="6"/>
      <c r="K457" s="6"/>
      <c r="L457" s="6"/>
      <c r="M457" s="6"/>
      <c r="N457" s="6"/>
      <c r="O457" s="6"/>
      <c r="P457" s="6"/>
      <c r="Q457" s="6"/>
      <c r="R457" s="6"/>
      <c r="S457" s="6"/>
      <c r="T457" s="6"/>
      <c r="U457" s="6"/>
      <c r="V457" s="6"/>
      <c r="W457" s="6"/>
      <c r="X457" s="6"/>
      <c r="Y457" s="6"/>
      <c r="Z457" s="6"/>
    </row>
    <row r="458" ht="18.0" customHeight="1">
      <c r="A458" s="301" t="s">
        <v>889</v>
      </c>
      <c r="B458" s="302" t="s">
        <v>2319</v>
      </c>
      <c r="C458" s="20"/>
      <c r="D458" s="20"/>
      <c r="E458" s="20"/>
      <c r="F458" s="6"/>
      <c r="G458" s="6"/>
      <c r="H458" s="6"/>
      <c r="I458" s="6"/>
      <c r="J458" s="6"/>
      <c r="K458" s="6"/>
      <c r="L458" s="6"/>
      <c r="M458" s="6"/>
      <c r="N458" s="6"/>
      <c r="O458" s="6"/>
      <c r="P458" s="6"/>
      <c r="Q458" s="6"/>
      <c r="R458" s="6"/>
      <c r="S458" s="6"/>
      <c r="T458" s="6"/>
      <c r="U458" s="6"/>
      <c r="V458" s="6"/>
      <c r="W458" s="6"/>
      <c r="X458" s="6"/>
      <c r="Y458" s="6"/>
      <c r="Z458" s="6"/>
    </row>
    <row r="459" ht="18.0" customHeight="1">
      <c r="A459" s="293" t="s">
        <v>2320</v>
      </c>
      <c r="B459" s="294" t="s">
        <v>2321</v>
      </c>
      <c r="C459" s="295"/>
      <c r="D459" s="20"/>
      <c r="E459" s="20"/>
      <c r="F459" s="6"/>
      <c r="G459" s="6"/>
      <c r="H459" s="6"/>
      <c r="I459" s="6"/>
      <c r="J459" s="6"/>
      <c r="K459" s="6"/>
      <c r="L459" s="6"/>
      <c r="M459" s="6"/>
      <c r="N459" s="6"/>
      <c r="O459" s="6"/>
      <c r="P459" s="6"/>
      <c r="Q459" s="6"/>
      <c r="R459" s="6"/>
      <c r="S459" s="6"/>
      <c r="T459" s="6"/>
      <c r="U459" s="6"/>
      <c r="V459" s="6"/>
      <c r="W459" s="6"/>
      <c r="X459" s="6"/>
      <c r="Y459" s="6"/>
      <c r="Z459" s="6"/>
    </row>
    <row r="460" ht="18.0" customHeight="1">
      <c r="A460" s="293" t="s">
        <v>2322</v>
      </c>
      <c r="B460" s="294" t="s">
        <v>2323</v>
      </c>
      <c r="C460" s="295"/>
      <c r="D460" s="20"/>
      <c r="E460" s="20"/>
      <c r="F460" s="6"/>
      <c r="G460" s="6"/>
      <c r="H460" s="6"/>
      <c r="I460" s="6"/>
      <c r="J460" s="6"/>
      <c r="K460" s="6"/>
      <c r="L460" s="6"/>
      <c r="M460" s="6"/>
      <c r="N460" s="6"/>
      <c r="O460" s="6"/>
      <c r="P460" s="6"/>
      <c r="Q460" s="6"/>
      <c r="R460" s="6"/>
      <c r="S460" s="6"/>
      <c r="T460" s="6"/>
      <c r="U460" s="6"/>
      <c r="V460" s="6"/>
      <c r="W460" s="6"/>
      <c r="X460" s="6"/>
      <c r="Y460" s="6"/>
      <c r="Z460" s="6"/>
    </row>
    <row r="461" ht="18.0" customHeight="1">
      <c r="A461" s="293" t="s">
        <v>2324</v>
      </c>
      <c r="B461" s="294" t="s">
        <v>2325</v>
      </c>
      <c r="C461" s="295"/>
      <c r="D461" s="20"/>
      <c r="E461" s="20"/>
      <c r="F461" s="6"/>
      <c r="G461" s="6"/>
      <c r="H461" s="6"/>
      <c r="I461" s="6"/>
      <c r="J461" s="6"/>
      <c r="K461" s="6"/>
      <c r="L461" s="6"/>
      <c r="M461" s="6"/>
      <c r="N461" s="6"/>
      <c r="O461" s="6"/>
      <c r="P461" s="6"/>
      <c r="Q461" s="6"/>
      <c r="R461" s="6"/>
      <c r="S461" s="6"/>
      <c r="T461" s="6"/>
      <c r="U461" s="6"/>
      <c r="V461" s="6"/>
      <c r="W461" s="6"/>
      <c r="X461" s="6"/>
      <c r="Y461" s="6"/>
      <c r="Z461" s="6"/>
    </row>
    <row r="462" ht="18.0" customHeight="1">
      <c r="A462" s="293" t="s">
        <v>2326</v>
      </c>
      <c r="B462" s="294" t="s">
        <v>2327</v>
      </c>
      <c r="C462" s="295"/>
      <c r="D462" s="20"/>
      <c r="E462" s="20"/>
      <c r="F462" s="6"/>
      <c r="G462" s="6"/>
      <c r="H462" s="6"/>
      <c r="I462" s="6"/>
      <c r="J462" s="6"/>
      <c r="K462" s="6"/>
      <c r="L462" s="6"/>
      <c r="M462" s="6"/>
      <c r="N462" s="6"/>
      <c r="O462" s="6"/>
      <c r="P462" s="6"/>
      <c r="Q462" s="6"/>
      <c r="R462" s="6"/>
      <c r="S462" s="6"/>
      <c r="T462" s="6"/>
      <c r="U462" s="6"/>
      <c r="V462" s="6"/>
      <c r="W462" s="6"/>
      <c r="X462" s="6"/>
      <c r="Y462" s="6"/>
      <c r="Z462" s="6"/>
    </row>
    <row r="463" ht="18.0" customHeight="1">
      <c r="A463" s="293" t="s">
        <v>2328</v>
      </c>
      <c r="B463" s="294" t="s">
        <v>2329</v>
      </c>
      <c r="C463" s="295"/>
      <c r="D463" s="20"/>
      <c r="E463" s="20"/>
      <c r="F463" s="6"/>
      <c r="G463" s="6"/>
      <c r="H463" s="6"/>
      <c r="I463" s="6"/>
      <c r="J463" s="6"/>
      <c r="K463" s="6"/>
      <c r="L463" s="6"/>
      <c r="M463" s="6"/>
      <c r="N463" s="6"/>
      <c r="O463" s="6"/>
      <c r="P463" s="6"/>
      <c r="Q463" s="6"/>
      <c r="R463" s="6"/>
      <c r="S463" s="6"/>
      <c r="T463" s="6"/>
      <c r="U463" s="6"/>
      <c r="V463" s="6"/>
      <c r="W463" s="6"/>
      <c r="X463" s="6"/>
      <c r="Y463" s="6"/>
      <c r="Z463" s="6"/>
    </row>
    <row r="464" ht="18.0" customHeight="1">
      <c r="A464" s="293" t="s">
        <v>2330</v>
      </c>
      <c r="B464" s="294" t="s">
        <v>2331</v>
      </c>
      <c r="C464" s="295"/>
      <c r="D464" s="20"/>
      <c r="E464" s="20"/>
      <c r="F464" s="6"/>
      <c r="G464" s="6"/>
      <c r="H464" s="6"/>
      <c r="I464" s="6"/>
      <c r="J464" s="6"/>
      <c r="K464" s="6"/>
      <c r="L464" s="6"/>
      <c r="M464" s="6"/>
      <c r="N464" s="6"/>
      <c r="O464" s="6"/>
      <c r="P464" s="6"/>
      <c r="Q464" s="6"/>
      <c r="R464" s="6"/>
      <c r="S464" s="6"/>
      <c r="T464" s="6"/>
      <c r="U464" s="6"/>
      <c r="V464" s="6"/>
      <c r="W464" s="6"/>
      <c r="X464" s="6"/>
      <c r="Y464" s="6"/>
      <c r="Z464" s="6"/>
    </row>
    <row r="465" ht="18.0" customHeight="1">
      <c r="A465" s="293" t="s">
        <v>2332</v>
      </c>
      <c r="B465" s="294" t="s">
        <v>2333</v>
      </c>
      <c r="C465" s="295"/>
      <c r="D465" s="20"/>
      <c r="E465" s="20"/>
      <c r="F465" s="6"/>
      <c r="G465" s="6"/>
      <c r="H465" s="6"/>
      <c r="I465" s="6"/>
      <c r="J465" s="6"/>
      <c r="K465" s="6"/>
      <c r="L465" s="6"/>
      <c r="M465" s="6"/>
      <c r="N465" s="6"/>
      <c r="O465" s="6"/>
      <c r="P465" s="6"/>
      <c r="Q465" s="6"/>
      <c r="R465" s="6"/>
      <c r="S465" s="6"/>
      <c r="T465" s="6"/>
      <c r="U465" s="6"/>
      <c r="V465" s="6"/>
      <c r="W465" s="6"/>
      <c r="X465" s="6"/>
      <c r="Y465" s="6"/>
      <c r="Z465" s="6"/>
    </row>
    <row r="466" ht="18.0" customHeight="1">
      <c r="A466" s="293" t="s">
        <v>2334</v>
      </c>
      <c r="B466" s="294" t="s">
        <v>2335</v>
      </c>
      <c r="C466" s="295"/>
      <c r="D466" s="20"/>
      <c r="E466" s="20"/>
      <c r="F466" s="6"/>
      <c r="G466" s="6"/>
      <c r="H466" s="6"/>
      <c r="I466" s="6"/>
      <c r="J466" s="6"/>
      <c r="K466" s="6"/>
      <c r="L466" s="6"/>
      <c r="M466" s="6"/>
      <c r="N466" s="6"/>
      <c r="O466" s="6"/>
      <c r="P466" s="6"/>
      <c r="Q466" s="6"/>
      <c r="R466" s="6"/>
      <c r="S466" s="6"/>
      <c r="T466" s="6"/>
      <c r="U466" s="6"/>
      <c r="V466" s="6"/>
      <c r="W466" s="6"/>
      <c r="X466" s="6"/>
      <c r="Y466" s="6"/>
      <c r="Z466" s="6"/>
    </row>
    <row r="467" ht="18.0" customHeight="1">
      <c r="A467" s="293" t="s">
        <v>2336</v>
      </c>
      <c r="B467" s="294" t="s">
        <v>2337</v>
      </c>
      <c r="C467" s="295"/>
      <c r="D467" s="20"/>
      <c r="E467" s="20"/>
      <c r="F467" s="6"/>
      <c r="G467" s="6"/>
      <c r="H467" s="6"/>
      <c r="I467" s="6"/>
      <c r="J467" s="6"/>
      <c r="K467" s="6"/>
      <c r="L467" s="6"/>
      <c r="M467" s="6"/>
      <c r="N467" s="6"/>
      <c r="O467" s="6"/>
      <c r="P467" s="6"/>
      <c r="Q467" s="6"/>
      <c r="R467" s="6"/>
      <c r="S467" s="6"/>
      <c r="T467" s="6"/>
      <c r="U467" s="6"/>
      <c r="V467" s="6"/>
      <c r="W467" s="6"/>
      <c r="X467" s="6"/>
      <c r="Y467" s="6"/>
      <c r="Z467" s="6"/>
    </row>
    <row r="468" ht="18.0" customHeight="1">
      <c r="A468" s="293" t="s">
        <v>2338</v>
      </c>
      <c r="B468" s="294" t="s">
        <v>2339</v>
      </c>
      <c r="C468" s="295"/>
      <c r="D468" s="20"/>
      <c r="E468" s="20"/>
      <c r="F468" s="6"/>
      <c r="G468" s="6"/>
      <c r="H468" s="6"/>
      <c r="I468" s="6"/>
      <c r="J468" s="6"/>
      <c r="K468" s="6"/>
      <c r="L468" s="6"/>
      <c r="M468" s="6"/>
      <c r="N468" s="6"/>
      <c r="O468" s="6"/>
      <c r="P468" s="6"/>
      <c r="Q468" s="6"/>
      <c r="R468" s="6"/>
      <c r="S468" s="6"/>
      <c r="T468" s="6"/>
      <c r="U468" s="6"/>
      <c r="V468" s="6"/>
      <c r="W468" s="6"/>
      <c r="X468" s="6"/>
      <c r="Y468" s="6"/>
      <c r="Z468" s="6"/>
    </row>
    <row r="469" ht="18.0" customHeight="1">
      <c r="A469" s="293" t="s">
        <v>2340</v>
      </c>
      <c r="B469" s="294" t="s">
        <v>2341</v>
      </c>
      <c r="C469" s="295"/>
      <c r="D469" s="20"/>
      <c r="E469" s="20"/>
      <c r="F469" s="6"/>
      <c r="G469" s="6"/>
      <c r="H469" s="6"/>
      <c r="I469" s="6"/>
      <c r="J469" s="6"/>
      <c r="K469" s="6"/>
      <c r="L469" s="6"/>
      <c r="M469" s="6"/>
      <c r="N469" s="6"/>
      <c r="O469" s="6"/>
      <c r="P469" s="6"/>
      <c r="Q469" s="6"/>
      <c r="R469" s="6"/>
      <c r="S469" s="6"/>
      <c r="T469" s="6"/>
      <c r="U469" s="6"/>
      <c r="V469" s="6"/>
      <c r="W469" s="6"/>
      <c r="X469" s="6"/>
      <c r="Y469" s="6"/>
      <c r="Z469" s="6"/>
    </row>
    <row r="470" ht="18.0" customHeight="1">
      <c r="A470" s="293" t="s">
        <v>2342</v>
      </c>
      <c r="B470" s="294" t="s">
        <v>2343</v>
      </c>
      <c r="C470" s="295"/>
      <c r="D470" s="20"/>
      <c r="E470" s="20"/>
      <c r="F470" s="6"/>
      <c r="G470" s="6"/>
      <c r="H470" s="6"/>
      <c r="I470" s="6"/>
      <c r="J470" s="6"/>
      <c r="K470" s="6"/>
      <c r="L470" s="6"/>
      <c r="M470" s="6"/>
      <c r="N470" s="6"/>
      <c r="O470" s="6"/>
      <c r="P470" s="6"/>
      <c r="Q470" s="6"/>
      <c r="R470" s="6"/>
      <c r="S470" s="6"/>
      <c r="T470" s="6"/>
      <c r="U470" s="6"/>
      <c r="V470" s="6"/>
      <c r="W470" s="6"/>
      <c r="X470" s="6"/>
      <c r="Y470" s="6"/>
      <c r="Z470" s="6"/>
    </row>
    <row r="471" ht="18.0" customHeight="1">
      <c r="A471" s="293" t="s">
        <v>2344</v>
      </c>
      <c r="B471" s="294" t="s">
        <v>2345</v>
      </c>
      <c r="C471" s="295"/>
      <c r="D471" s="20"/>
      <c r="E471" s="20"/>
      <c r="F471" s="6"/>
      <c r="G471" s="6"/>
      <c r="H471" s="6"/>
      <c r="I471" s="6"/>
      <c r="J471" s="6"/>
      <c r="K471" s="6"/>
      <c r="L471" s="6"/>
      <c r="M471" s="6"/>
      <c r="N471" s="6"/>
      <c r="O471" s="6"/>
      <c r="P471" s="6"/>
      <c r="Q471" s="6"/>
      <c r="R471" s="6"/>
      <c r="S471" s="6"/>
      <c r="T471" s="6"/>
      <c r="U471" s="6"/>
      <c r="V471" s="6"/>
      <c r="W471" s="6"/>
      <c r="X471" s="6"/>
      <c r="Y471" s="6"/>
      <c r="Z471" s="6"/>
    </row>
    <row r="472" ht="18.0" customHeight="1">
      <c r="A472" s="293" t="s">
        <v>2346</v>
      </c>
      <c r="B472" s="294" t="s">
        <v>2347</v>
      </c>
      <c r="C472" s="295"/>
      <c r="D472" s="20"/>
      <c r="E472" s="20"/>
      <c r="F472" s="6"/>
      <c r="G472" s="6"/>
      <c r="H472" s="6"/>
      <c r="I472" s="6"/>
      <c r="J472" s="6"/>
      <c r="K472" s="6"/>
      <c r="L472" s="6"/>
      <c r="M472" s="6"/>
      <c r="N472" s="6"/>
      <c r="O472" s="6"/>
      <c r="P472" s="6"/>
      <c r="Q472" s="6"/>
      <c r="R472" s="6"/>
      <c r="S472" s="6"/>
      <c r="T472" s="6"/>
      <c r="U472" s="6"/>
      <c r="V472" s="6"/>
      <c r="W472" s="6"/>
      <c r="X472" s="6"/>
      <c r="Y472" s="6"/>
      <c r="Z472" s="6"/>
    </row>
    <row r="473" ht="18.0" customHeight="1">
      <c r="A473" s="293" t="s">
        <v>2348</v>
      </c>
      <c r="B473" s="294" t="s">
        <v>2349</v>
      </c>
      <c r="C473" s="295"/>
      <c r="D473" s="20"/>
      <c r="E473" s="20"/>
      <c r="F473" s="6"/>
      <c r="G473" s="6"/>
      <c r="H473" s="6"/>
      <c r="I473" s="6"/>
      <c r="J473" s="6"/>
      <c r="K473" s="6"/>
      <c r="L473" s="6"/>
      <c r="M473" s="6"/>
      <c r="N473" s="6"/>
      <c r="O473" s="6"/>
      <c r="P473" s="6"/>
      <c r="Q473" s="6"/>
      <c r="R473" s="6"/>
      <c r="S473" s="6"/>
      <c r="T473" s="6"/>
      <c r="U473" s="6"/>
      <c r="V473" s="6"/>
      <c r="W473" s="6"/>
      <c r="X473" s="6"/>
      <c r="Y473" s="6"/>
      <c r="Z473" s="6"/>
    </row>
    <row r="474" ht="18.0" customHeight="1">
      <c r="A474" s="293" t="s">
        <v>2350</v>
      </c>
      <c r="B474" s="299" t="s">
        <v>2351</v>
      </c>
      <c r="C474" s="295"/>
      <c r="D474" s="20"/>
      <c r="E474" s="20"/>
      <c r="F474" s="6"/>
      <c r="G474" s="6"/>
      <c r="H474" s="6"/>
      <c r="I474" s="6"/>
      <c r="J474" s="6"/>
      <c r="K474" s="6"/>
      <c r="L474" s="6"/>
      <c r="M474" s="6"/>
      <c r="N474" s="6"/>
      <c r="O474" s="6"/>
      <c r="P474" s="6"/>
      <c r="Q474" s="6"/>
      <c r="R474" s="6"/>
      <c r="S474" s="6"/>
      <c r="T474" s="6"/>
      <c r="U474" s="6"/>
      <c r="V474" s="6"/>
      <c r="W474" s="6"/>
      <c r="X474" s="6"/>
      <c r="Y474" s="6"/>
      <c r="Z474" s="6"/>
    </row>
    <row r="475" ht="18.0" customHeight="1">
      <c r="A475" s="293" t="s">
        <v>2352</v>
      </c>
      <c r="B475" s="294" t="s">
        <v>2353</v>
      </c>
      <c r="C475" s="295"/>
      <c r="D475" s="20"/>
      <c r="E475" s="20"/>
      <c r="F475" s="6"/>
      <c r="G475" s="6"/>
      <c r="H475" s="6"/>
      <c r="I475" s="6"/>
      <c r="J475" s="6"/>
      <c r="K475" s="6"/>
      <c r="L475" s="6"/>
      <c r="M475" s="6"/>
      <c r="N475" s="6"/>
      <c r="O475" s="6"/>
      <c r="P475" s="6"/>
      <c r="Q475" s="6"/>
      <c r="R475" s="6"/>
      <c r="S475" s="6"/>
      <c r="T475" s="6"/>
      <c r="U475" s="6"/>
      <c r="V475" s="6"/>
      <c r="W475" s="6"/>
      <c r="X475" s="6"/>
      <c r="Y475" s="6"/>
      <c r="Z475" s="6"/>
    </row>
    <row r="476" ht="18.0" customHeight="1">
      <c r="A476" s="293" t="s">
        <v>2354</v>
      </c>
      <c r="B476" s="294" t="s">
        <v>2355</v>
      </c>
      <c r="C476" s="295"/>
      <c r="D476" s="20"/>
      <c r="E476" s="20"/>
      <c r="F476" s="6"/>
      <c r="G476" s="6"/>
      <c r="H476" s="6"/>
      <c r="I476" s="6"/>
      <c r="J476" s="6"/>
      <c r="K476" s="6"/>
      <c r="L476" s="6"/>
      <c r="M476" s="6"/>
      <c r="N476" s="6"/>
      <c r="O476" s="6"/>
      <c r="P476" s="6"/>
      <c r="Q476" s="6"/>
      <c r="R476" s="6"/>
      <c r="S476" s="6"/>
      <c r="T476" s="6"/>
      <c r="U476" s="6"/>
      <c r="V476" s="6"/>
      <c r="W476" s="6"/>
      <c r="X476" s="6"/>
      <c r="Y476" s="6"/>
      <c r="Z476" s="6"/>
    </row>
    <row r="477" ht="18.0" customHeight="1">
      <c r="A477" s="293" t="s">
        <v>2356</v>
      </c>
      <c r="B477" s="294" t="s">
        <v>2357</v>
      </c>
      <c r="C477" s="295"/>
      <c r="D477" s="20"/>
      <c r="E477" s="20"/>
      <c r="F477" s="6"/>
      <c r="G477" s="6"/>
      <c r="H477" s="6"/>
      <c r="I477" s="6"/>
      <c r="J477" s="6"/>
      <c r="K477" s="6"/>
      <c r="L477" s="6"/>
      <c r="M477" s="6"/>
      <c r="N477" s="6"/>
      <c r="O477" s="6"/>
      <c r="P477" s="6"/>
      <c r="Q477" s="6"/>
      <c r="R477" s="6"/>
      <c r="S477" s="6"/>
      <c r="T477" s="6"/>
      <c r="U477" s="6"/>
      <c r="V477" s="6"/>
      <c r="W477" s="6"/>
      <c r="X477" s="6"/>
      <c r="Y477" s="6"/>
      <c r="Z477" s="6"/>
    </row>
    <row r="478" ht="18.0" customHeight="1">
      <c r="A478" s="293" t="s">
        <v>2358</v>
      </c>
      <c r="B478" s="294" t="s">
        <v>2359</v>
      </c>
      <c r="C478" s="295"/>
      <c r="D478" s="20"/>
      <c r="E478" s="20"/>
      <c r="F478" s="6"/>
      <c r="G478" s="6"/>
      <c r="H478" s="6"/>
      <c r="I478" s="6"/>
      <c r="J478" s="6"/>
      <c r="K478" s="6"/>
      <c r="L478" s="6"/>
      <c r="M478" s="6"/>
      <c r="N478" s="6"/>
      <c r="O478" s="6"/>
      <c r="P478" s="6"/>
      <c r="Q478" s="6"/>
      <c r="R478" s="6"/>
      <c r="S478" s="6"/>
      <c r="T478" s="6"/>
      <c r="U478" s="6"/>
      <c r="V478" s="6"/>
      <c r="W478" s="6"/>
      <c r="X478" s="6"/>
      <c r="Y478" s="6"/>
      <c r="Z478" s="6"/>
    </row>
    <row r="479" ht="18.0" customHeight="1">
      <c r="A479" s="293" t="s">
        <v>2360</v>
      </c>
      <c r="B479" s="294" t="s">
        <v>2361</v>
      </c>
      <c r="C479" s="295"/>
      <c r="D479" s="20"/>
      <c r="E479" s="20"/>
      <c r="F479" s="6"/>
      <c r="G479" s="6"/>
      <c r="H479" s="6"/>
      <c r="I479" s="6"/>
      <c r="J479" s="6"/>
      <c r="K479" s="6"/>
      <c r="L479" s="6"/>
      <c r="M479" s="6"/>
      <c r="N479" s="6"/>
      <c r="O479" s="6"/>
      <c r="P479" s="6"/>
      <c r="Q479" s="6"/>
      <c r="R479" s="6"/>
      <c r="S479" s="6"/>
      <c r="T479" s="6"/>
      <c r="U479" s="6"/>
      <c r="V479" s="6"/>
      <c r="W479" s="6"/>
      <c r="X479" s="6"/>
      <c r="Y479" s="6"/>
      <c r="Z479" s="6"/>
    </row>
    <row r="480" ht="18.0" customHeight="1">
      <c r="A480" s="293" t="s">
        <v>2362</v>
      </c>
      <c r="B480" s="294" t="s">
        <v>2363</v>
      </c>
      <c r="C480" s="295"/>
      <c r="D480" s="20"/>
      <c r="E480" s="20"/>
      <c r="F480" s="6"/>
      <c r="G480" s="6"/>
      <c r="H480" s="6"/>
      <c r="I480" s="6"/>
      <c r="J480" s="6"/>
      <c r="K480" s="6"/>
      <c r="L480" s="6"/>
      <c r="M480" s="6"/>
      <c r="N480" s="6"/>
      <c r="O480" s="6"/>
      <c r="P480" s="6"/>
      <c r="Q480" s="6"/>
      <c r="R480" s="6"/>
      <c r="S480" s="6"/>
      <c r="T480" s="6"/>
      <c r="U480" s="6"/>
      <c r="V480" s="6"/>
      <c r="W480" s="6"/>
      <c r="X480" s="6"/>
      <c r="Y480" s="6"/>
      <c r="Z480" s="6"/>
    </row>
    <row r="481" ht="18.0" customHeight="1">
      <c r="A481" s="293" t="s">
        <v>2364</v>
      </c>
      <c r="B481" s="294" t="s">
        <v>2365</v>
      </c>
      <c r="C481" s="295"/>
      <c r="D481" s="20"/>
      <c r="E481" s="20"/>
      <c r="F481" s="6"/>
      <c r="G481" s="6"/>
      <c r="H481" s="6"/>
      <c r="I481" s="6"/>
      <c r="J481" s="6"/>
      <c r="K481" s="6"/>
      <c r="L481" s="6"/>
      <c r="M481" s="6"/>
      <c r="N481" s="6"/>
      <c r="O481" s="6"/>
      <c r="P481" s="6"/>
      <c r="Q481" s="6"/>
      <c r="R481" s="6"/>
      <c r="S481" s="6"/>
      <c r="T481" s="6"/>
      <c r="U481" s="6"/>
      <c r="V481" s="6"/>
      <c r="W481" s="6"/>
      <c r="X481" s="6"/>
      <c r="Y481" s="6"/>
      <c r="Z481" s="6"/>
    </row>
    <row r="482" ht="18.0" customHeight="1">
      <c r="A482" s="293" t="s">
        <v>2366</v>
      </c>
      <c r="B482" s="294" t="s">
        <v>2367</v>
      </c>
      <c r="C482" s="295"/>
      <c r="D482" s="20"/>
      <c r="E482" s="20"/>
      <c r="F482" s="6"/>
      <c r="G482" s="6"/>
      <c r="H482" s="6"/>
      <c r="I482" s="6"/>
      <c r="J482" s="6"/>
      <c r="K482" s="6"/>
      <c r="L482" s="6"/>
      <c r="M482" s="6"/>
      <c r="N482" s="6"/>
      <c r="O482" s="6"/>
      <c r="P482" s="6"/>
      <c r="Q482" s="6"/>
      <c r="R482" s="6"/>
      <c r="S482" s="6"/>
      <c r="T482" s="6"/>
      <c r="U482" s="6"/>
      <c r="V482" s="6"/>
      <c r="W482" s="6"/>
      <c r="X482" s="6"/>
      <c r="Y482" s="6"/>
      <c r="Z482" s="6"/>
    </row>
    <row r="483" ht="18.0" customHeight="1">
      <c r="A483" s="293" t="s">
        <v>2368</v>
      </c>
      <c r="B483" s="294" t="s">
        <v>2369</v>
      </c>
      <c r="C483" s="295"/>
      <c r="D483" s="20"/>
      <c r="E483" s="20"/>
      <c r="F483" s="6"/>
      <c r="G483" s="6"/>
      <c r="H483" s="6"/>
      <c r="I483" s="6"/>
      <c r="J483" s="6"/>
      <c r="K483" s="6"/>
      <c r="L483" s="6"/>
      <c r="M483" s="6"/>
      <c r="N483" s="6"/>
      <c r="O483" s="6"/>
      <c r="P483" s="6"/>
      <c r="Q483" s="6"/>
      <c r="R483" s="6"/>
      <c r="S483" s="6"/>
      <c r="T483" s="6"/>
      <c r="U483" s="6"/>
      <c r="V483" s="6"/>
      <c r="W483" s="6"/>
      <c r="X483" s="6"/>
      <c r="Y483" s="6"/>
      <c r="Z483" s="6"/>
    </row>
    <row r="484" ht="18.0" customHeight="1">
      <c r="A484" s="293" t="s">
        <v>2370</v>
      </c>
      <c r="B484" s="294" t="s">
        <v>2371</v>
      </c>
      <c r="C484" s="295"/>
      <c r="D484" s="20"/>
      <c r="E484" s="20"/>
      <c r="F484" s="6"/>
      <c r="G484" s="6"/>
      <c r="H484" s="6"/>
      <c r="I484" s="6"/>
      <c r="J484" s="6"/>
      <c r="K484" s="6"/>
      <c r="L484" s="6"/>
      <c r="M484" s="6"/>
      <c r="N484" s="6"/>
      <c r="O484" s="6"/>
      <c r="P484" s="6"/>
      <c r="Q484" s="6"/>
      <c r="R484" s="6"/>
      <c r="S484" s="6"/>
      <c r="T484" s="6"/>
      <c r="U484" s="6"/>
      <c r="V484" s="6"/>
      <c r="W484" s="6"/>
      <c r="X484" s="6"/>
      <c r="Y484" s="6"/>
      <c r="Z484" s="6"/>
    </row>
    <row r="485" ht="18.0" customHeight="1">
      <c r="A485" s="293" t="s">
        <v>2372</v>
      </c>
      <c r="B485" s="294" t="s">
        <v>2373</v>
      </c>
      <c r="C485" s="295"/>
      <c r="D485" s="20"/>
      <c r="E485" s="20"/>
      <c r="F485" s="6"/>
      <c r="G485" s="6"/>
      <c r="H485" s="6"/>
      <c r="I485" s="6"/>
      <c r="J485" s="6"/>
      <c r="K485" s="6"/>
      <c r="L485" s="6"/>
      <c r="M485" s="6"/>
      <c r="N485" s="6"/>
      <c r="O485" s="6"/>
      <c r="P485" s="6"/>
      <c r="Q485" s="6"/>
      <c r="R485" s="6"/>
      <c r="S485" s="6"/>
      <c r="T485" s="6"/>
      <c r="U485" s="6"/>
      <c r="V485" s="6"/>
      <c r="W485" s="6"/>
      <c r="X485" s="6"/>
      <c r="Y485" s="6"/>
      <c r="Z485" s="6"/>
    </row>
    <row r="486" ht="18.0" customHeight="1">
      <c r="A486" s="293" t="s">
        <v>2374</v>
      </c>
      <c r="B486" s="294" t="s">
        <v>2375</v>
      </c>
      <c r="C486" s="295"/>
      <c r="D486" s="20"/>
      <c r="E486" s="20"/>
      <c r="F486" s="6"/>
      <c r="G486" s="6"/>
      <c r="H486" s="6"/>
      <c r="I486" s="6"/>
      <c r="J486" s="6"/>
      <c r="K486" s="6"/>
      <c r="L486" s="6"/>
      <c r="M486" s="6"/>
      <c r="N486" s="6"/>
      <c r="O486" s="6"/>
      <c r="P486" s="6"/>
      <c r="Q486" s="6"/>
      <c r="R486" s="6"/>
      <c r="S486" s="6"/>
      <c r="T486" s="6"/>
      <c r="U486" s="6"/>
      <c r="V486" s="6"/>
      <c r="W486" s="6"/>
      <c r="X486" s="6"/>
      <c r="Y486" s="6"/>
      <c r="Z486" s="6"/>
    </row>
    <row r="487" ht="18.0" customHeight="1">
      <c r="A487" s="293" t="s">
        <v>2376</v>
      </c>
      <c r="B487" s="294" t="s">
        <v>2377</v>
      </c>
      <c r="C487" s="295"/>
      <c r="D487" s="20"/>
      <c r="E487" s="20"/>
      <c r="F487" s="6"/>
      <c r="G487" s="6"/>
      <c r="H487" s="6"/>
      <c r="I487" s="6"/>
      <c r="J487" s="6"/>
      <c r="K487" s="6"/>
      <c r="L487" s="6"/>
      <c r="M487" s="6"/>
      <c r="N487" s="6"/>
      <c r="O487" s="6"/>
      <c r="P487" s="6"/>
      <c r="Q487" s="6"/>
      <c r="R487" s="6"/>
      <c r="S487" s="6"/>
      <c r="T487" s="6"/>
      <c r="U487" s="6"/>
      <c r="V487" s="6"/>
      <c r="W487" s="6"/>
      <c r="X487" s="6"/>
      <c r="Y487" s="6"/>
      <c r="Z487" s="6"/>
    </row>
    <row r="488" ht="18.0" customHeight="1">
      <c r="A488" s="293" t="s">
        <v>2378</v>
      </c>
      <c r="B488" s="294" t="s">
        <v>2379</v>
      </c>
      <c r="C488" s="295"/>
      <c r="D488" s="20"/>
      <c r="E488" s="20"/>
      <c r="F488" s="6"/>
      <c r="G488" s="6"/>
      <c r="H488" s="6"/>
      <c r="I488" s="6"/>
      <c r="J488" s="6"/>
      <c r="K488" s="6"/>
      <c r="L488" s="6"/>
      <c r="M488" s="6"/>
      <c r="N488" s="6"/>
      <c r="O488" s="6"/>
      <c r="P488" s="6"/>
      <c r="Q488" s="6"/>
      <c r="R488" s="6"/>
      <c r="S488" s="6"/>
      <c r="T488" s="6"/>
      <c r="U488" s="6"/>
      <c r="V488" s="6"/>
      <c r="W488" s="6"/>
      <c r="X488" s="6"/>
      <c r="Y488" s="6"/>
      <c r="Z488" s="6"/>
    </row>
    <row r="489" ht="18.0" customHeight="1">
      <c r="A489" s="293" t="s">
        <v>2380</v>
      </c>
      <c r="B489" s="299" t="s">
        <v>2381</v>
      </c>
      <c r="C489" s="295"/>
      <c r="D489" s="20"/>
      <c r="E489" s="20"/>
      <c r="F489" s="6"/>
      <c r="G489" s="6"/>
      <c r="H489" s="6"/>
      <c r="I489" s="6"/>
      <c r="J489" s="6"/>
      <c r="K489" s="6"/>
      <c r="L489" s="6"/>
      <c r="M489" s="6"/>
      <c r="N489" s="6"/>
      <c r="O489" s="6"/>
      <c r="P489" s="6"/>
      <c r="Q489" s="6"/>
      <c r="R489" s="6"/>
      <c r="S489" s="6"/>
      <c r="T489" s="6"/>
      <c r="U489" s="6"/>
      <c r="V489" s="6"/>
      <c r="W489" s="6"/>
      <c r="X489" s="6"/>
      <c r="Y489" s="6"/>
      <c r="Z489" s="6"/>
    </row>
    <row r="490" ht="18.0" customHeight="1">
      <c r="A490" s="293" t="s">
        <v>2382</v>
      </c>
      <c r="B490" s="294" t="s">
        <v>2383</v>
      </c>
      <c r="C490" s="295"/>
      <c r="D490" s="20"/>
      <c r="E490" s="20"/>
      <c r="F490" s="6"/>
      <c r="G490" s="6"/>
      <c r="H490" s="6"/>
      <c r="I490" s="6"/>
      <c r="J490" s="6"/>
      <c r="K490" s="6"/>
      <c r="L490" s="6"/>
      <c r="M490" s="6"/>
      <c r="N490" s="6"/>
      <c r="O490" s="6"/>
      <c r="P490" s="6"/>
      <c r="Q490" s="6"/>
      <c r="R490" s="6"/>
      <c r="S490" s="6"/>
      <c r="T490" s="6"/>
      <c r="U490" s="6"/>
      <c r="V490" s="6"/>
      <c r="W490" s="6"/>
      <c r="X490" s="6"/>
      <c r="Y490" s="6"/>
      <c r="Z490" s="6"/>
    </row>
    <row r="491" ht="18.0" customHeight="1">
      <c r="A491" s="293" t="s">
        <v>2384</v>
      </c>
      <c r="B491" s="294" t="s">
        <v>2385</v>
      </c>
      <c r="C491" s="295"/>
      <c r="D491" s="20"/>
      <c r="E491" s="20"/>
      <c r="F491" s="6"/>
      <c r="G491" s="6"/>
      <c r="H491" s="6"/>
      <c r="I491" s="6"/>
      <c r="J491" s="6"/>
      <c r="K491" s="6"/>
      <c r="L491" s="6"/>
      <c r="M491" s="6"/>
      <c r="N491" s="6"/>
      <c r="O491" s="6"/>
      <c r="P491" s="6"/>
      <c r="Q491" s="6"/>
      <c r="R491" s="6"/>
      <c r="S491" s="6"/>
      <c r="T491" s="6"/>
      <c r="U491" s="6"/>
      <c r="V491" s="6"/>
      <c r="W491" s="6"/>
      <c r="X491" s="6"/>
      <c r="Y491" s="6"/>
      <c r="Z491" s="6"/>
    </row>
    <row r="492" ht="18.0" customHeight="1">
      <c r="A492" s="293" t="s">
        <v>2386</v>
      </c>
      <c r="B492" s="294" t="s">
        <v>2387</v>
      </c>
      <c r="C492" s="295"/>
      <c r="D492" s="20"/>
      <c r="E492" s="20"/>
      <c r="F492" s="6"/>
      <c r="G492" s="6"/>
      <c r="H492" s="6"/>
      <c r="I492" s="6"/>
      <c r="J492" s="6"/>
      <c r="K492" s="6"/>
      <c r="L492" s="6"/>
      <c r="M492" s="6"/>
      <c r="N492" s="6"/>
      <c r="O492" s="6"/>
      <c r="P492" s="6"/>
      <c r="Q492" s="6"/>
      <c r="R492" s="6"/>
      <c r="S492" s="6"/>
      <c r="T492" s="6"/>
      <c r="U492" s="6"/>
      <c r="V492" s="6"/>
      <c r="W492" s="6"/>
      <c r="X492" s="6"/>
      <c r="Y492" s="6"/>
      <c r="Z492" s="6"/>
    </row>
    <row r="493" ht="18.0" customHeight="1">
      <c r="A493" s="293" t="s">
        <v>2388</v>
      </c>
      <c r="B493" s="294" t="s">
        <v>2389</v>
      </c>
      <c r="C493" s="295"/>
      <c r="D493" s="20"/>
      <c r="E493" s="20"/>
      <c r="F493" s="6"/>
      <c r="G493" s="6"/>
      <c r="H493" s="6"/>
      <c r="I493" s="6"/>
      <c r="J493" s="6"/>
      <c r="K493" s="6"/>
      <c r="L493" s="6"/>
      <c r="M493" s="6"/>
      <c r="N493" s="6"/>
      <c r="O493" s="6"/>
      <c r="P493" s="6"/>
      <c r="Q493" s="6"/>
      <c r="R493" s="6"/>
      <c r="S493" s="6"/>
      <c r="T493" s="6"/>
      <c r="U493" s="6"/>
      <c r="V493" s="6"/>
      <c r="W493" s="6"/>
      <c r="X493" s="6"/>
      <c r="Y493" s="6"/>
      <c r="Z493" s="6"/>
    </row>
    <row r="494" ht="18.0" customHeight="1">
      <c r="A494" s="293" t="s">
        <v>2390</v>
      </c>
      <c r="B494" s="294" t="s">
        <v>2391</v>
      </c>
      <c r="C494" s="295"/>
      <c r="D494" s="20"/>
      <c r="E494" s="20"/>
      <c r="F494" s="6"/>
      <c r="G494" s="6"/>
      <c r="H494" s="6"/>
      <c r="I494" s="6"/>
      <c r="J494" s="6"/>
      <c r="K494" s="6"/>
      <c r="L494" s="6"/>
      <c r="M494" s="6"/>
      <c r="N494" s="6"/>
      <c r="O494" s="6"/>
      <c r="P494" s="6"/>
      <c r="Q494" s="6"/>
      <c r="R494" s="6"/>
      <c r="S494" s="6"/>
      <c r="T494" s="6"/>
      <c r="U494" s="6"/>
      <c r="V494" s="6"/>
      <c r="W494" s="6"/>
      <c r="X494" s="6"/>
      <c r="Y494" s="6"/>
      <c r="Z494" s="6"/>
    </row>
    <row r="495" ht="18.0" customHeight="1">
      <c r="A495" s="293" t="s">
        <v>2392</v>
      </c>
      <c r="B495" s="294" t="s">
        <v>2393</v>
      </c>
      <c r="C495" s="295"/>
      <c r="D495" s="20"/>
      <c r="E495" s="20"/>
      <c r="F495" s="6"/>
      <c r="G495" s="6"/>
      <c r="H495" s="6"/>
      <c r="I495" s="6"/>
      <c r="J495" s="6"/>
      <c r="K495" s="6"/>
      <c r="L495" s="6"/>
      <c r="M495" s="6"/>
      <c r="N495" s="6"/>
      <c r="O495" s="6"/>
      <c r="P495" s="6"/>
      <c r="Q495" s="6"/>
      <c r="R495" s="6"/>
      <c r="S495" s="6"/>
      <c r="T495" s="6"/>
      <c r="U495" s="6"/>
      <c r="V495" s="6"/>
      <c r="W495" s="6"/>
      <c r="X495" s="6"/>
      <c r="Y495" s="6"/>
      <c r="Z495" s="6"/>
    </row>
    <row r="496" ht="18.0" customHeight="1">
      <c r="A496" s="293" t="s">
        <v>2394</v>
      </c>
      <c r="B496" s="294" t="s">
        <v>2395</v>
      </c>
      <c r="C496" s="295"/>
      <c r="D496" s="20"/>
      <c r="E496" s="20"/>
      <c r="F496" s="6"/>
      <c r="G496" s="6"/>
      <c r="H496" s="6"/>
      <c r="I496" s="6"/>
      <c r="J496" s="6"/>
      <c r="K496" s="6"/>
      <c r="L496" s="6"/>
      <c r="M496" s="6"/>
      <c r="N496" s="6"/>
      <c r="O496" s="6"/>
      <c r="P496" s="6"/>
      <c r="Q496" s="6"/>
      <c r="R496" s="6"/>
      <c r="S496" s="6"/>
      <c r="T496" s="6"/>
      <c r="U496" s="6"/>
      <c r="V496" s="6"/>
      <c r="W496" s="6"/>
      <c r="X496" s="6"/>
      <c r="Y496" s="6"/>
      <c r="Z496" s="6"/>
    </row>
    <row r="497" ht="18.0" customHeight="1">
      <c r="A497" s="293" t="s">
        <v>2396</v>
      </c>
      <c r="B497" s="294" t="s">
        <v>2397</v>
      </c>
      <c r="C497" s="295"/>
      <c r="D497" s="20"/>
      <c r="E497" s="20"/>
      <c r="F497" s="6"/>
      <c r="G497" s="6"/>
      <c r="H497" s="6"/>
      <c r="I497" s="6"/>
      <c r="J497" s="6"/>
      <c r="K497" s="6"/>
      <c r="L497" s="6"/>
      <c r="M497" s="6"/>
      <c r="N497" s="6"/>
      <c r="O497" s="6"/>
      <c r="P497" s="6"/>
      <c r="Q497" s="6"/>
      <c r="R497" s="6"/>
      <c r="S497" s="6"/>
      <c r="T497" s="6"/>
      <c r="U497" s="6"/>
      <c r="V497" s="6"/>
      <c r="W497" s="6"/>
      <c r="X497" s="6"/>
      <c r="Y497" s="6"/>
      <c r="Z497" s="6"/>
    </row>
    <row r="498" ht="18.0" customHeight="1">
      <c r="A498" s="293" t="s">
        <v>2398</v>
      </c>
      <c r="B498" s="294" t="s">
        <v>2399</v>
      </c>
      <c r="C498" s="295"/>
      <c r="D498" s="20"/>
      <c r="E498" s="20"/>
      <c r="F498" s="6"/>
      <c r="G498" s="6"/>
      <c r="H498" s="6"/>
      <c r="I498" s="6"/>
      <c r="J498" s="6"/>
      <c r="K498" s="6"/>
      <c r="L498" s="6"/>
      <c r="M498" s="6"/>
      <c r="N498" s="6"/>
      <c r="O498" s="6"/>
      <c r="P498" s="6"/>
      <c r="Q498" s="6"/>
      <c r="R498" s="6"/>
      <c r="S498" s="6"/>
      <c r="T498" s="6"/>
      <c r="U498" s="6"/>
      <c r="V498" s="6"/>
      <c r="W498" s="6"/>
      <c r="X498" s="6"/>
      <c r="Y498" s="6"/>
      <c r="Z498" s="6"/>
    </row>
    <row r="499" ht="18.0" customHeight="1">
      <c r="A499" s="293" t="s">
        <v>2400</v>
      </c>
      <c r="B499" s="294" t="s">
        <v>2401</v>
      </c>
      <c r="C499" s="295"/>
      <c r="D499" s="20"/>
      <c r="E499" s="20"/>
      <c r="F499" s="6"/>
      <c r="G499" s="6"/>
      <c r="H499" s="6"/>
      <c r="I499" s="6"/>
      <c r="J499" s="6"/>
      <c r="K499" s="6"/>
      <c r="L499" s="6"/>
      <c r="M499" s="6"/>
      <c r="N499" s="6"/>
      <c r="O499" s="6"/>
      <c r="P499" s="6"/>
      <c r="Q499" s="6"/>
      <c r="R499" s="6"/>
      <c r="S499" s="6"/>
      <c r="T499" s="6"/>
      <c r="U499" s="6"/>
      <c r="V499" s="6"/>
      <c r="W499" s="6"/>
      <c r="X499" s="6"/>
      <c r="Y499" s="6"/>
      <c r="Z499" s="6"/>
    </row>
    <row r="500" ht="18.0" customHeight="1">
      <c r="A500" s="293" t="s">
        <v>2402</v>
      </c>
      <c r="B500" s="294" t="s">
        <v>2403</v>
      </c>
      <c r="C500" s="295"/>
      <c r="D500" s="20"/>
      <c r="E500" s="20"/>
      <c r="F500" s="6"/>
      <c r="G500" s="6"/>
      <c r="H500" s="6"/>
      <c r="I500" s="6"/>
      <c r="J500" s="6"/>
      <c r="K500" s="6"/>
      <c r="L500" s="6"/>
      <c r="M500" s="6"/>
      <c r="N500" s="6"/>
      <c r="O500" s="6"/>
      <c r="P500" s="6"/>
      <c r="Q500" s="6"/>
      <c r="R500" s="6"/>
      <c r="S500" s="6"/>
      <c r="T500" s="6"/>
      <c r="U500" s="6"/>
      <c r="V500" s="6"/>
      <c r="W500" s="6"/>
      <c r="X500" s="6"/>
      <c r="Y500" s="6"/>
      <c r="Z500" s="6"/>
    </row>
    <row r="501" ht="18.0" customHeight="1">
      <c r="A501" s="293" t="s">
        <v>2404</v>
      </c>
      <c r="B501" s="294" t="s">
        <v>2405</v>
      </c>
      <c r="C501" s="295"/>
      <c r="D501" s="20"/>
      <c r="E501" s="20"/>
      <c r="F501" s="6"/>
      <c r="G501" s="6"/>
      <c r="H501" s="6"/>
      <c r="I501" s="6"/>
      <c r="J501" s="6"/>
      <c r="K501" s="6"/>
      <c r="L501" s="6"/>
      <c r="M501" s="6"/>
      <c r="N501" s="6"/>
      <c r="O501" s="6"/>
      <c r="P501" s="6"/>
      <c r="Q501" s="6"/>
      <c r="R501" s="6"/>
      <c r="S501" s="6"/>
      <c r="T501" s="6"/>
      <c r="U501" s="6"/>
      <c r="V501" s="6"/>
      <c r="W501" s="6"/>
      <c r="X501" s="6"/>
      <c r="Y501" s="6"/>
      <c r="Z501" s="6"/>
    </row>
    <row r="502" ht="18.0" customHeight="1">
      <c r="A502" s="293" t="s">
        <v>2406</v>
      </c>
      <c r="B502" s="294" t="s">
        <v>2407</v>
      </c>
      <c r="C502" s="295"/>
      <c r="D502" s="20"/>
      <c r="E502" s="20"/>
      <c r="F502" s="6"/>
      <c r="G502" s="6"/>
      <c r="H502" s="6"/>
      <c r="I502" s="6"/>
      <c r="J502" s="6"/>
      <c r="K502" s="6"/>
      <c r="L502" s="6"/>
      <c r="M502" s="6"/>
      <c r="N502" s="6"/>
      <c r="O502" s="6"/>
      <c r="P502" s="6"/>
      <c r="Q502" s="6"/>
      <c r="R502" s="6"/>
      <c r="S502" s="6"/>
      <c r="T502" s="6"/>
      <c r="U502" s="6"/>
      <c r="V502" s="6"/>
      <c r="W502" s="6"/>
      <c r="X502" s="6"/>
      <c r="Y502" s="6"/>
      <c r="Z502" s="6"/>
    </row>
    <row r="503" ht="18.0" customHeight="1">
      <c r="A503" s="293" t="s">
        <v>2408</v>
      </c>
      <c r="B503" s="294" t="s">
        <v>2409</v>
      </c>
      <c r="C503" s="295"/>
      <c r="D503" s="20"/>
      <c r="E503" s="20"/>
      <c r="F503" s="6"/>
      <c r="G503" s="6"/>
      <c r="H503" s="6"/>
      <c r="I503" s="6"/>
      <c r="J503" s="6"/>
      <c r="K503" s="6"/>
      <c r="L503" s="6"/>
      <c r="M503" s="6"/>
      <c r="N503" s="6"/>
      <c r="O503" s="6"/>
      <c r="P503" s="6"/>
      <c r="Q503" s="6"/>
      <c r="R503" s="6"/>
      <c r="S503" s="6"/>
      <c r="T503" s="6"/>
      <c r="U503" s="6"/>
      <c r="V503" s="6"/>
      <c r="W503" s="6"/>
      <c r="X503" s="6"/>
      <c r="Y503" s="6"/>
      <c r="Z503" s="6"/>
    </row>
    <row r="504" ht="18.0" customHeight="1">
      <c r="A504" s="293" t="s">
        <v>2410</v>
      </c>
      <c r="B504" s="294" t="s">
        <v>2411</v>
      </c>
      <c r="C504" s="295"/>
      <c r="D504" s="20"/>
      <c r="E504" s="20"/>
      <c r="F504" s="6"/>
      <c r="G504" s="6"/>
      <c r="H504" s="6"/>
      <c r="I504" s="6"/>
      <c r="J504" s="6"/>
      <c r="K504" s="6"/>
      <c r="L504" s="6"/>
      <c r="M504" s="6"/>
      <c r="N504" s="6"/>
      <c r="O504" s="6"/>
      <c r="P504" s="6"/>
      <c r="Q504" s="6"/>
      <c r="R504" s="6"/>
      <c r="S504" s="6"/>
      <c r="T504" s="6"/>
      <c r="U504" s="6"/>
      <c r="V504" s="6"/>
      <c r="W504" s="6"/>
      <c r="X504" s="6"/>
      <c r="Y504" s="6"/>
      <c r="Z504" s="6"/>
    </row>
    <row r="505" ht="18.0" customHeight="1">
      <c r="A505" s="293" t="s">
        <v>2412</v>
      </c>
      <c r="B505" s="294" t="s">
        <v>2413</v>
      </c>
      <c r="C505" s="295"/>
      <c r="D505" s="20"/>
      <c r="E505" s="20"/>
      <c r="F505" s="6"/>
      <c r="G505" s="6"/>
      <c r="H505" s="6"/>
      <c r="I505" s="6"/>
      <c r="J505" s="6"/>
      <c r="K505" s="6"/>
      <c r="L505" s="6"/>
      <c r="M505" s="6"/>
      <c r="N505" s="6"/>
      <c r="O505" s="6"/>
      <c r="P505" s="6"/>
      <c r="Q505" s="6"/>
      <c r="R505" s="6"/>
      <c r="S505" s="6"/>
      <c r="T505" s="6"/>
      <c r="U505" s="6"/>
      <c r="V505" s="6"/>
      <c r="W505" s="6"/>
      <c r="X505" s="6"/>
      <c r="Y505" s="6"/>
      <c r="Z505" s="6"/>
    </row>
    <row r="506" ht="18.0" customHeight="1">
      <c r="A506" s="293" t="s">
        <v>2414</v>
      </c>
      <c r="B506" s="294" t="s">
        <v>2415</v>
      </c>
      <c r="C506" s="295"/>
      <c r="D506" s="20"/>
      <c r="E506" s="20"/>
      <c r="F506" s="6"/>
      <c r="G506" s="6"/>
      <c r="H506" s="6"/>
      <c r="I506" s="6"/>
      <c r="J506" s="6"/>
      <c r="K506" s="6"/>
      <c r="L506" s="6"/>
      <c r="M506" s="6"/>
      <c r="N506" s="6"/>
      <c r="O506" s="6"/>
      <c r="P506" s="6"/>
      <c r="Q506" s="6"/>
      <c r="R506" s="6"/>
      <c r="S506" s="6"/>
      <c r="T506" s="6"/>
      <c r="U506" s="6"/>
      <c r="V506" s="6"/>
      <c r="W506" s="6"/>
      <c r="X506" s="6"/>
      <c r="Y506" s="6"/>
      <c r="Z506" s="6"/>
    </row>
    <row r="507" ht="18.0" customHeight="1">
      <c r="A507" s="293" t="s">
        <v>2416</v>
      </c>
      <c r="B507" s="294" t="s">
        <v>2417</v>
      </c>
      <c r="C507" s="295"/>
      <c r="D507" s="20"/>
      <c r="E507" s="20"/>
      <c r="F507" s="6"/>
      <c r="G507" s="6"/>
      <c r="H507" s="6"/>
      <c r="I507" s="6"/>
      <c r="J507" s="6"/>
      <c r="K507" s="6"/>
      <c r="L507" s="6"/>
      <c r="M507" s="6"/>
      <c r="N507" s="6"/>
      <c r="O507" s="6"/>
      <c r="P507" s="6"/>
      <c r="Q507" s="6"/>
      <c r="R507" s="6"/>
      <c r="S507" s="6"/>
      <c r="T507" s="6"/>
      <c r="U507" s="6"/>
      <c r="V507" s="6"/>
      <c r="W507" s="6"/>
      <c r="X507" s="6"/>
      <c r="Y507" s="6"/>
      <c r="Z507" s="6"/>
    </row>
    <row r="508" ht="18.0" customHeight="1">
      <c r="A508" s="293" t="s">
        <v>2418</v>
      </c>
      <c r="B508" s="294" t="s">
        <v>2419</v>
      </c>
      <c r="C508" s="295"/>
      <c r="D508" s="20"/>
      <c r="E508" s="20"/>
      <c r="F508" s="6"/>
      <c r="G508" s="6"/>
      <c r="H508" s="6"/>
      <c r="I508" s="6"/>
      <c r="J508" s="6"/>
      <c r="K508" s="6"/>
      <c r="L508" s="6"/>
      <c r="M508" s="6"/>
      <c r="N508" s="6"/>
      <c r="O508" s="6"/>
      <c r="P508" s="6"/>
      <c r="Q508" s="6"/>
      <c r="R508" s="6"/>
      <c r="S508" s="6"/>
      <c r="T508" s="6"/>
      <c r="U508" s="6"/>
      <c r="V508" s="6"/>
      <c r="W508" s="6"/>
      <c r="X508" s="6"/>
      <c r="Y508" s="6"/>
      <c r="Z508" s="6"/>
    </row>
    <row r="509" ht="18.0" customHeight="1">
      <c r="A509" s="293" t="s">
        <v>2420</v>
      </c>
      <c r="B509" s="294" t="s">
        <v>2421</v>
      </c>
      <c r="C509" s="295"/>
      <c r="D509" s="20"/>
      <c r="E509" s="20"/>
      <c r="F509" s="6"/>
      <c r="G509" s="6"/>
      <c r="H509" s="6"/>
      <c r="I509" s="6"/>
      <c r="J509" s="6"/>
      <c r="K509" s="6"/>
      <c r="L509" s="6"/>
      <c r="M509" s="6"/>
      <c r="N509" s="6"/>
      <c r="O509" s="6"/>
      <c r="P509" s="6"/>
      <c r="Q509" s="6"/>
      <c r="R509" s="6"/>
      <c r="S509" s="6"/>
      <c r="T509" s="6"/>
      <c r="U509" s="6"/>
      <c r="V509" s="6"/>
      <c r="W509" s="6"/>
      <c r="X509" s="6"/>
      <c r="Y509" s="6"/>
      <c r="Z509" s="6"/>
    </row>
    <row r="510" ht="18.0" customHeight="1">
      <c r="A510" s="293" t="s">
        <v>2422</v>
      </c>
      <c r="B510" s="294" t="s">
        <v>2423</v>
      </c>
      <c r="C510" s="295"/>
      <c r="D510" s="20"/>
      <c r="E510" s="20"/>
      <c r="F510" s="6"/>
      <c r="G510" s="6"/>
      <c r="H510" s="6"/>
      <c r="I510" s="6"/>
      <c r="J510" s="6"/>
      <c r="K510" s="6"/>
      <c r="L510" s="6"/>
      <c r="M510" s="6"/>
      <c r="N510" s="6"/>
      <c r="O510" s="6"/>
      <c r="P510" s="6"/>
      <c r="Q510" s="6"/>
      <c r="R510" s="6"/>
      <c r="S510" s="6"/>
      <c r="T510" s="6"/>
      <c r="U510" s="6"/>
      <c r="V510" s="6"/>
      <c r="W510" s="6"/>
      <c r="X510" s="6"/>
      <c r="Y510" s="6"/>
      <c r="Z510" s="6"/>
    </row>
    <row r="511" ht="18.0" customHeight="1">
      <c r="A511" s="293" t="s">
        <v>2424</v>
      </c>
      <c r="B511" s="294" t="s">
        <v>2425</v>
      </c>
      <c r="C511" s="295"/>
      <c r="D511" s="20"/>
      <c r="E511" s="20"/>
      <c r="F511" s="6"/>
      <c r="G511" s="6"/>
      <c r="H511" s="6"/>
      <c r="I511" s="6"/>
      <c r="J511" s="6"/>
      <c r="K511" s="6"/>
      <c r="L511" s="6"/>
      <c r="M511" s="6"/>
      <c r="N511" s="6"/>
      <c r="O511" s="6"/>
      <c r="P511" s="6"/>
      <c r="Q511" s="6"/>
      <c r="R511" s="6"/>
      <c r="S511" s="6"/>
      <c r="T511" s="6"/>
      <c r="U511" s="6"/>
      <c r="V511" s="6"/>
      <c r="W511" s="6"/>
      <c r="X511" s="6"/>
      <c r="Y511" s="6"/>
      <c r="Z511" s="6"/>
    </row>
    <row r="512" ht="18.0" customHeight="1">
      <c r="A512" s="293" t="s">
        <v>2426</v>
      </c>
      <c r="B512" s="294" t="s">
        <v>2427</v>
      </c>
      <c r="C512" s="295"/>
      <c r="D512" s="20"/>
      <c r="E512" s="20"/>
      <c r="F512" s="6"/>
      <c r="G512" s="6"/>
      <c r="H512" s="6"/>
      <c r="I512" s="6"/>
      <c r="J512" s="6"/>
      <c r="K512" s="6"/>
      <c r="L512" s="6"/>
      <c r="M512" s="6"/>
      <c r="N512" s="6"/>
      <c r="O512" s="6"/>
      <c r="P512" s="6"/>
      <c r="Q512" s="6"/>
      <c r="R512" s="6"/>
      <c r="S512" s="6"/>
      <c r="T512" s="6"/>
      <c r="U512" s="6"/>
      <c r="V512" s="6"/>
      <c r="W512" s="6"/>
      <c r="X512" s="6"/>
      <c r="Y512" s="6"/>
      <c r="Z512" s="6"/>
    </row>
    <row r="513" ht="18.0" customHeight="1">
      <c r="A513" s="293" t="s">
        <v>2428</v>
      </c>
      <c r="B513" s="294" t="s">
        <v>2429</v>
      </c>
      <c r="C513" s="295"/>
      <c r="D513" s="20"/>
      <c r="E513" s="20"/>
      <c r="F513" s="6"/>
      <c r="G513" s="6"/>
      <c r="H513" s="6"/>
      <c r="I513" s="6"/>
      <c r="J513" s="6"/>
      <c r="K513" s="6"/>
      <c r="L513" s="6"/>
      <c r="M513" s="6"/>
      <c r="N513" s="6"/>
      <c r="O513" s="6"/>
      <c r="P513" s="6"/>
      <c r="Q513" s="6"/>
      <c r="R513" s="6"/>
      <c r="S513" s="6"/>
      <c r="T513" s="6"/>
      <c r="U513" s="6"/>
      <c r="V513" s="6"/>
      <c r="W513" s="6"/>
      <c r="X513" s="6"/>
      <c r="Y513" s="6"/>
      <c r="Z513" s="6"/>
    </row>
    <row r="514" ht="18.0" customHeight="1">
      <c r="A514" s="293" t="s">
        <v>2430</v>
      </c>
      <c r="B514" s="294" t="s">
        <v>2431</v>
      </c>
      <c r="C514" s="295"/>
      <c r="D514" s="20"/>
      <c r="E514" s="20"/>
      <c r="F514" s="6"/>
      <c r="G514" s="6"/>
      <c r="H514" s="6"/>
      <c r="I514" s="6"/>
      <c r="J514" s="6"/>
      <c r="K514" s="6"/>
      <c r="L514" s="6"/>
      <c r="M514" s="6"/>
      <c r="N514" s="6"/>
      <c r="O514" s="6"/>
      <c r="P514" s="6"/>
      <c r="Q514" s="6"/>
      <c r="R514" s="6"/>
      <c r="S514" s="6"/>
      <c r="T514" s="6"/>
      <c r="U514" s="6"/>
      <c r="V514" s="6"/>
      <c r="W514" s="6"/>
      <c r="X514" s="6"/>
      <c r="Y514" s="6"/>
      <c r="Z514" s="6"/>
    </row>
    <row r="515" ht="18.0" customHeight="1">
      <c r="A515" s="293" t="s">
        <v>2432</v>
      </c>
      <c r="B515" s="294" t="s">
        <v>2433</v>
      </c>
      <c r="C515" s="295"/>
      <c r="D515" s="20"/>
      <c r="E515" s="20"/>
      <c r="F515" s="6"/>
      <c r="G515" s="6"/>
      <c r="H515" s="6"/>
      <c r="I515" s="6"/>
      <c r="J515" s="6"/>
      <c r="K515" s="6"/>
      <c r="L515" s="6"/>
      <c r="M515" s="6"/>
      <c r="N515" s="6"/>
      <c r="O515" s="6"/>
      <c r="P515" s="6"/>
      <c r="Q515" s="6"/>
      <c r="R515" s="6"/>
      <c r="S515" s="6"/>
      <c r="T515" s="6"/>
      <c r="U515" s="6"/>
      <c r="V515" s="6"/>
      <c r="W515" s="6"/>
      <c r="X515" s="6"/>
      <c r="Y515" s="6"/>
      <c r="Z515" s="6"/>
    </row>
    <row r="516" ht="18.0" customHeight="1">
      <c r="A516" s="293" t="s">
        <v>2434</v>
      </c>
      <c r="B516" s="294" t="s">
        <v>2435</v>
      </c>
      <c r="C516" s="295"/>
      <c r="D516" s="20"/>
      <c r="E516" s="20"/>
      <c r="F516" s="6"/>
      <c r="G516" s="6"/>
      <c r="H516" s="6"/>
      <c r="I516" s="6"/>
      <c r="J516" s="6"/>
      <c r="K516" s="6"/>
      <c r="L516" s="6"/>
      <c r="M516" s="6"/>
      <c r="N516" s="6"/>
      <c r="O516" s="6"/>
      <c r="P516" s="6"/>
      <c r="Q516" s="6"/>
      <c r="R516" s="6"/>
      <c r="S516" s="6"/>
      <c r="T516" s="6"/>
      <c r="U516" s="6"/>
      <c r="V516" s="6"/>
      <c r="W516" s="6"/>
      <c r="X516" s="6"/>
      <c r="Y516" s="6"/>
      <c r="Z516" s="6"/>
    </row>
    <row r="517" ht="18.0" customHeight="1">
      <c r="A517" s="293" t="s">
        <v>2436</v>
      </c>
      <c r="B517" s="294" t="s">
        <v>2437</v>
      </c>
      <c r="C517" s="295"/>
      <c r="D517" s="20"/>
      <c r="E517" s="20"/>
      <c r="F517" s="6"/>
      <c r="G517" s="6"/>
      <c r="H517" s="6"/>
      <c r="I517" s="6"/>
      <c r="J517" s="6"/>
      <c r="K517" s="6"/>
      <c r="L517" s="6"/>
      <c r="M517" s="6"/>
      <c r="N517" s="6"/>
      <c r="O517" s="6"/>
      <c r="P517" s="6"/>
      <c r="Q517" s="6"/>
      <c r="R517" s="6"/>
      <c r="S517" s="6"/>
      <c r="T517" s="6"/>
      <c r="U517" s="6"/>
      <c r="V517" s="6"/>
      <c r="W517" s="6"/>
      <c r="X517" s="6"/>
      <c r="Y517" s="6"/>
      <c r="Z517" s="6"/>
    </row>
    <row r="518" ht="18.0" customHeight="1">
      <c r="A518" s="293" t="s">
        <v>2438</v>
      </c>
      <c r="B518" s="294" t="s">
        <v>2439</v>
      </c>
      <c r="C518" s="295"/>
      <c r="D518" s="20"/>
      <c r="E518" s="20"/>
      <c r="F518" s="6"/>
      <c r="G518" s="6"/>
      <c r="H518" s="6"/>
      <c r="I518" s="6"/>
      <c r="J518" s="6"/>
      <c r="K518" s="6"/>
      <c r="L518" s="6"/>
      <c r="M518" s="6"/>
      <c r="N518" s="6"/>
      <c r="O518" s="6"/>
      <c r="P518" s="6"/>
      <c r="Q518" s="6"/>
      <c r="R518" s="6"/>
      <c r="S518" s="6"/>
      <c r="T518" s="6"/>
      <c r="U518" s="6"/>
      <c r="V518" s="6"/>
      <c r="W518" s="6"/>
      <c r="X518" s="6"/>
      <c r="Y518" s="6"/>
      <c r="Z518" s="6"/>
    </row>
    <row r="519" ht="18.0" customHeight="1">
      <c r="A519" s="293" t="s">
        <v>2440</v>
      </c>
      <c r="B519" s="294" t="s">
        <v>2441</v>
      </c>
      <c r="C519" s="295"/>
      <c r="D519" s="20"/>
      <c r="E519" s="20"/>
      <c r="F519" s="6"/>
      <c r="G519" s="6"/>
      <c r="H519" s="6"/>
      <c r="I519" s="6"/>
      <c r="J519" s="6"/>
      <c r="K519" s="6"/>
      <c r="L519" s="6"/>
      <c r="M519" s="6"/>
      <c r="N519" s="6"/>
      <c r="O519" s="6"/>
      <c r="P519" s="6"/>
      <c r="Q519" s="6"/>
      <c r="R519" s="6"/>
      <c r="S519" s="6"/>
      <c r="T519" s="6"/>
      <c r="U519" s="6"/>
      <c r="V519" s="6"/>
      <c r="W519" s="6"/>
      <c r="X519" s="6"/>
      <c r="Y519" s="6"/>
      <c r="Z519" s="6"/>
    </row>
    <row r="520" ht="18.0" customHeight="1">
      <c r="A520" s="293" t="s">
        <v>2442</v>
      </c>
      <c r="B520" s="294" t="s">
        <v>2443</v>
      </c>
      <c r="C520" s="295"/>
      <c r="D520" s="20"/>
      <c r="E520" s="20"/>
      <c r="F520" s="6"/>
      <c r="G520" s="6"/>
      <c r="H520" s="6"/>
      <c r="I520" s="6"/>
      <c r="J520" s="6"/>
      <c r="K520" s="6"/>
      <c r="L520" s="6"/>
      <c r="M520" s="6"/>
      <c r="N520" s="6"/>
      <c r="O520" s="6"/>
      <c r="P520" s="6"/>
      <c r="Q520" s="6"/>
      <c r="R520" s="6"/>
      <c r="S520" s="6"/>
      <c r="T520" s="6"/>
      <c r="U520" s="6"/>
      <c r="V520" s="6"/>
      <c r="W520" s="6"/>
      <c r="X520" s="6"/>
      <c r="Y520" s="6"/>
      <c r="Z520" s="6"/>
    </row>
    <row r="521" ht="18.0" customHeight="1">
      <c r="A521" s="293" t="s">
        <v>2444</v>
      </c>
      <c r="B521" s="294" t="s">
        <v>2445</v>
      </c>
      <c r="C521" s="295"/>
      <c r="D521" s="20"/>
      <c r="E521" s="20"/>
      <c r="F521" s="6"/>
      <c r="G521" s="6"/>
      <c r="H521" s="6"/>
      <c r="I521" s="6"/>
      <c r="J521" s="6"/>
      <c r="K521" s="6"/>
      <c r="L521" s="6"/>
      <c r="M521" s="6"/>
      <c r="N521" s="6"/>
      <c r="O521" s="6"/>
      <c r="P521" s="6"/>
      <c r="Q521" s="6"/>
      <c r="R521" s="6"/>
      <c r="S521" s="6"/>
      <c r="T521" s="6"/>
      <c r="U521" s="6"/>
      <c r="V521" s="6"/>
      <c r="W521" s="6"/>
      <c r="X521" s="6"/>
      <c r="Y521" s="6"/>
      <c r="Z521" s="6"/>
    </row>
    <row r="522" ht="18.0" customHeight="1">
      <c r="A522" s="293" t="s">
        <v>2446</v>
      </c>
      <c r="B522" s="294" t="s">
        <v>2447</v>
      </c>
      <c r="C522" s="295"/>
      <c r="D522" s="20"/>
      <c r="E522" s="20"/>
      <c r="F522" s="6"/>
      <c r="G522" s="6"/>
      <c r="H522" s="6"/>
      <c r="I522" s="6"/>
      <c r="J522" s="6"/>
      <c r="K522" s="6"/>
      <c r="L522" s="6"/>
      <c r="M522" s="6"/>
      <c r="N522" s="6"/>
      <c r="O522" s="6"/>
      <c r="P522" s="6"/>
      <c r="Q522" s="6"/>
      <c r="R522" s="6"/>
      <c r="S522" s="6"/>
      <c r="T522" s="6"/>
      <c r="U522" s="6"/>
      <c r="V522" s="6"/>
      <c r="W522" s="6"/>
      <c r="X522" s="6"/>
      <c r="Y522" s="6"/>
      <c r="Z522" s="6"/>
    </row>
    <row r="523" ht="18.0" customHeight="1">
      <c r="A523" s="293" t="s">
        <v>2448</v>
      </c>
      <c r="B523" s="294" t="s">
        <v>2449</v>
      </c>
      <c r="C523" s="295"/>
      <c r="D523" s="20"/>
      <c r="E523" s="20"/>
      <c r="F523" s="6"/>
      <c r="G523" s="6"/>
      <c r="H523" s="6"/>
      <c r="I523" s="6"/>
      <c r="J523" s="6"/>
      <c r="K523" s="6"/>
      <c r="L523" s="6"/>
      <c r="M523" s="6"/>
      <c r="N523" s="6"/>
      <c r="O523" s="6"/>
      <c r="P523" s="6"/>
      <c r="Q523" s="6"/>
      <c r="R523" s="6"/>
      <c r="S523" s="6"/>
      <c r="T523" s="6"/>
      <c r="U523" s="6"/>
      <c r="V523" s="6"/>
      <c r="W523" s="6"/>
      <c r="X523" s="6"/>
      <c r="Y523" s="6"/>
      <c r="Z523" s="6"/>
    </row>
    <row r="524" ht="18.0" customHeight="1">
      <c r="A524" s="293" t="s">
        <v>2450</v>
      </c>
      <c r="B524" s="294" t="s">
        <v>2451</v>
      </c>
      <c r="C524" s="295"/>
      <c r="D524" s="20"/>
      <c r="E524" s="20"/>
      <c r="F524" s="6"/>
      <c r="G524" s="6"/>
      <c r="H524" s="6"/>
      <c r="I524" s="6"/>
      <c r="J524" s="6"/>
      <c r="K524" s="6"/>
      <c r="L524" s="6"/>
      <c r="M524" s="6"/>
      <c r="N524" s="6"/>
      <c r="O524" s="6"/>
      <c r="P524" s="6"/>
      <c r="Q524" s="6"/>
      <c r="R524" s="6"/>
      <c r="S524" s="6"/>
      <c r="T524" s="6"/>
      <c r="U524" s="6"/>
      <c r="V524" s="6"/>
      <c r="W524" s="6"/>
      <c r="X524" s="6"/>
      <c r="Y524" s="6"/>
      <c r="Z524" s="6"/>
    </row>
    <row r="525" ht="18.0" customHeight="1">
      <c r="A525" s="293" t="s">
        <v>2452</v>
      </c>
      <c r="B525" s="294" t="s">
        <v>2453</v>
      </c>
      <c r="C525" s="295"/>
      <c r="D525" s="20"/>
      <c r="E525" s="20"/>
      <c r="F525" s="6"/>
      <c r="G525" s="6"/>
      <c r="H525" s="6"/>
      <c r="I525" s="6"/>
      <c r="J525" s="6"/>
      <c r="K525" s="6"/>
      <c r="L525" s="6"/>
      <c r="M525" s="6"/>
      <c r="N525" s="6"/>
      <c r="O525" s="6"/>
      <c r="P525" s="6"/>
      <c r="Q525" s="6"/>
      <c r="R525" s="6"/>
      <c r="S525" s="6"/>
      <c r="T525" s="6"/>
      <c r="U525" s="6"/>
      <c r="V525" s="6"/>
      <c r="W525" s="6"/>
      <c r="X525" s="6"/>
      <c r="Y525" s="6"/>
      <c r="Z525" s="6"/>
    </row>
    <row r="526" ht="18.0" customHeight="1">
      <c r="A526" s="293" t="s">
        <v>2454</v>
      </c>
      <c r="B526" s="294" t="s">
        <v>2455</v>
      </c>
      <c r="C526" s="295"/>
      <c r="D526" s="20"/>
      <c r="E526" s="20"/>
      <c r="F526" s="6"/>
      <c r="G526" s="6"/>
      <c r="H526" s="6"/>
      <c r="I526" s="6"/>
      <c r="J526" s="6"/>
      <c r="K526" s="6"/>
      <c r="L526" s="6"/>
      <c r="M526" s="6"/>
      <c r="N526" s="6"/>
      <c r="O526" s="6"/>
      <c r="P526" s="6"/>
      <c r="Q526" s="6"/>
      <c r="R526" s="6"/>
      <c r="S526" s="6"/>
      <c r="T526" s="6"/>
      <c r="U526" s="6"/>
      <c r="V526" s="6"/>
      <c r="W526" s="6"/>
      <c r="X526" s="6"/>
      <c r="Y526" s="6"/>
      <c r="Z526" s="6"/>
    </row>
    <row r="527" ht="18.0" customHeight="1">
      <c r="A527" s="293" t="s">
        <v>2456</v>
      </c>
      <c r="B527" s="294" t="s">
        <v>2457</v>
      </c>
      <c r="C527" s="295"/>
      <c r="D527" s="20"/>
      <c r="E527" s="20"/>
      <c r="F527" s="6"/>
      <c r="G527" s="6"/>
      <c r="H527" s="6"/>
      <c r="I527" s="6"/>
      <c r="J527" s="6"/>
      <c r="K527" s="6"/>
      <c r="L527" s="6"/>
      <c r="M527" s="6"/>
      <c r="N527" s="6"/>
      <c r="O527" s="6"/>
      <c r="P527" s="6"/>
      <c r="Q527" s="6"/>
      <c r="R527" s="6"/>
      <c r="S527" s="6"/>
      <c r="T527" s="6"/>
      <c r="U527" s="6"/>
      <c r="V527" s="6"/>
      <c r="W527" s="6"/>
      <c r="X527" s="6"/>
      <c r="Y527" s="6"/>
      <c r="Z527" s="6"/>
    </row>
    <row r="528" ht="18.0" customHeight="1">
      <c r="A528" s="293" t="s">
        <v>2458</v>
      </c>
      <c r="B528" s="294" t="s">
        <v>2459</v>
      </c>
      <c r="C528" s="295"/>
      <c r="D528" s="20"/>
      <c r="E528" s="20"/>
      <c r="F528" s="6"/>
      <c r="G528" s="6"/>
      <c r="H528" s="6"/>
      <c r="I528" s="6"/>
      <c r="J528" s="6"/>
      <c r="K528" s="6"/>
      <c r="L528" s="6"/>
      <c r="M528" s="6"/>
      <c r="N528" s="6"/>
      <c r="O528" s="6"/>
      <c r="P528" s="6"/>
      <c r="Q528" s="6"/>
      <c r="R528" s="6"/>
      <c r="S528" s="6"/>
      <c r="T528" s="6"/>
      <c r="U528" s="6"/>
      <c r="V528" s="6"/>
      <c r="W528" s="6"/>
      <c r="X528" s="6"/>
      <c r="Y528" s="6"/>
      <c r="Z528" s="6"/>
    </row>
    <row r="529" ht="18.0" customHeight="1">
      <c r="A529" s="293" t="s">
        <v>2460</v>
      </c>
      <c r="B529" s="294" t="s">
        <v>2461</v>
      </c>
      <c r="C529" s="295"/>
      <c r="D529" s="20"/>
      <c r="E529" s="20"/>
      <c r="F529" s="6"/>
      <c r="G529" s="6"/>
      <c r="H529" s="6"/>
      <c r="I529" s="6"/>
      <c r="J529" s="6"/>
      <c r="K529" s="6"/>
      <c r="L529" s="6"/>
      <c r="M529" s="6"/>
      <c r="N529" s="6"/>
      <c r="O529" s="6"/>
      <c r="P529" s="6"/>
      <c r="Q529" s="6"/>
      <c r="R529" s="6"/>
      <c r="S529" s="6"/>
      <c r="T529" s="6"/>
      <c r="U529" s="6"/>
      <c r="V529" s="6"/>
      <c r="W529" s="6"/>
      <c r="X529" s="6"/>
      <c r="Y529" s="6"/>
      <c r="Z529" s="6"/>
    </row>
    <row r="530" ht="18.0" customHeight="1">
      <c r="A530" s="293" t="s">
        <v>2462</v>
      </c>
      <c r="B530" s="294" t="s">
        <v>2463</v>
      </c>
      <c r="C530" s="295"/>
      <c r="D530" s="20"/>
      <c r="E530" s="20"/>
      <c r="F530" s="6"/>
      <c r="G530" s="6"/>
      <c r="H530" s="6"/>
      <c r="I530" s="6"/>
      <c r="J530" s="6"/>
      <c r="K530" s="6"/>
      <c r="L530" s="6"/>
      <c r="M530" s="6"/>
      <c r="N530" s="6"/>
      <c r="O530" s="6"/>
      <c r="P530" s="6"/>
      <c r="Q530" s="6"/>
      <c r="R530" s="6"/>
      <c r="S530" s="6"/>
      <c r="T530" s="6"/>
      <c r="U530" s="6"/>
      <c r="V530" s="6"/>
      <c r="W530" s="6"/>
      <c r="X530" s="6"/>
      <c r="Y530" s="6"/>
      <c r="Z530" s="6"/>
    </row>
    <row r="531" ht="18.0" customHeight="1">
      <c r="A531" s="293" t="s">
        <v>2464</v>
      </c>
      <c r="B531" s="299" t="s">
        <v>2465</v>
      </c>
      <c r="C531" s="295"/>
      <c r="D531" s="20"/>
      <c r="E531" s="20"/>
      <c r="F531" s="6"/>
      <c r="G531" s="6"/>
      <c r="H531" s="6"/>
      <c r="I531" s="6"/>
      <c r="J531" s="6"/>
      <c r="K531" s="6"/>
      <c r="L531" s="6"/>
      <c r="M531" s="6"/>
      <c r="N531" s="6"/>
      <c r="O531" s="6"/>
      <c r="P531" s="6"/>
      <c r="Q531" s="6"/>
      <c r="R531" s="6"/>
      <c r="S531" s="6"/>
      <c r="T531" s="6"/>
      <c r="U531" s="6"/>
      <c r="V531" s="6"/>
      <c r="W531" s="6"/>
      <c r="X531" s="6"/>
      <c r="Y531" s="6"/>
      <c r="Z531" s="6"/>
    </row>
    <row r="532" ht="18.0" customHeight="1">
      <c r="A532" s="293" t="s">
        <v>2466</v>
      </c>
      <c r="B532" s="299" t="s">
        <v>2467</v>
      </c>
      <c r="C532" s="295"/>
      <c r="D532" s="20"/>
      <c r="E532" s="20"/>
      <c r="F532" s="6"/>
      <c r="G532" s="6"/>
      <c r="H532" s="6"/>
      <c r="I532" s="6"/>
      <c r="J532" s="6"/>
      <c r="K532" s="6"/>
      <c r="L532" s="6"/>
      <c r="M532" s="6"/>
      <c r="N532" s="6"/>
      <c r="O532" s="6"/>
      <c r="P532" s="6"/>
      <c r="Q532" s="6"/>
      <c r="R532" s="6"/>
      <c r="S532" s="6"/>
      <c r="T532" s="6"/>
      <c r="U532" s="6"/>
      <c r="V532" s="6"/>
      <c r="W532" s="6"/>
      <c r="X532" s="6"/>
      <c r="Y532" s="6"/>
      <c r="Z532" s="6"/>
    </row>
    <row r="533" ht="18.0" customHeight="1">
      <c r="A533" s="293" t="s">
        <v>2468</v>
      </c>
      <c r="B533" s="294" t="s">
        <v>2469</v>
      </c>
      <c r="C533" s="295"/>
      <c r="D533" s="20"/>
      <c r="E533" s="20"/>
      <c r="F533" s="6"/>
      <c r="G533" s="6"/>
      <c r="H533" s="6"/>
      <c r="I533" s="6"/>
      <c r="J533" s="6"/>
      <c r="K533" s="6"/>
      <c r="L533" s="6"/>
      <c r="M533" s="6"/>
      <c r="N533" s="6"/>
      <c r="O533" s="6"/>
      <c r="P533" s="6"/>
      <c r="Q533" s="6"/>
      <c r="R533" s="6"/>
      <c r="S533" s="6"/>
      <c r="T533" s="6"/>
      <c r="U533" s="6"/>
      <c r="V533" s="6"/>
      <c r="W533" s="6"/>
      <c r="X533" s="6"/>
      <c r="Y533" s="6"/>
      <c r="Z533" s="6"/>
    </row>
    <row r="534" ht="18.0" customHeight="1">
      <c r="A534" s="293" t="s">
        <v>2470</v>
      </c>
      <c r="B534" s="294" t="s">
        <v>2471</v>
      </c>
      <c r="C534" s="295"/>
      <c r="D534" s="20"/>
      <c r="E534" s="20"/>
      <c r="F534" s="6"/>
      <c r="G534" s="6"/>
      <c r="H534" s="6"/>
      <c r="I534" s="6"/>
      <c r="J534" s="6"/>
      <c r="K534" s="6"/>
      <c r="L534" s="6"/>
      <c r="M534" s="6"/>
      <c r="N534" s="6"/>
      <c r="O534" s="6"/>
      <c r="P534" s="6"/>
      <c r="Q534" s="6"/>
      <c r="R534" s="6"/>
      <c r="S534" s="6"/>
      <c r="T534" s="6"/>
      <c r="U534" s="6"/>
      <c r="V534" s="6"/>
      <c r="W534" s="6"/>
      <c r="X534" s="6"/>
      <c r="Y534" s="6"/>
      <c r="Z534" s="6"/>
    </row>
    <row r="535" ht="18.0" customHeight="1">
      <c r="A535" s="293" t="s">
        <v>2472</v>
      </c>
      <c r="B535" s="294" t="s">
        <v>2473</v>
      </c>
      <c r="C535" s="295"/>
      <c r="D535" s="20"/>
      <c r="E535" s="20"/>
      <c r="F535" s="6"/>
      <c r="G535" s="6"/>
      <c r="H535" s="6"/>
      <c r="I535" s="6"/>
      <c r="J535" s="6"/>
      <c r="K535" s="6"/>
      <c r="L535" s="6"/>
      <c r="M535" s="6"/>
      <c r="N535" s="6"/>
      <c r="O535" s="6"/>
      <c r="P535" s="6"/>
      <c r="Q535" s="6"/>
      <c r="R535" s="6"/>
      <c r="S535" s="6"/>
      <c r="T535" s="6"/>
      <c r="U535" s="6"/>
      <c r="V535" s="6"/>
      <c r="W535" s="6"/>
      <c r="X535" s="6"/>
      <c r="Y535" s="6"/>
      <c r="Z535" s="6"/>
    </row>
    <row r="536" ht="18.0" customHeight="1">
      <c r="A536" s="293" t="s">
        <v>2474</v>
      </c>
      <c r="B536" s="294" t="s">
        <v>2475</v>
      </c>
      <c r="C536" s="295"/>
      <c r="D536" s="20"/>
      <c r="E536" s="20"/>
      <c r="F536" s="6"/>
      <c r="G536" s="6"/>
      <c r="H536" s="6"/>
      <c r="I536" s="6"/>
      <c r="J536" s="6"/>
      <c r="K536" s="6"/>
      <c r="L536" s="6"/>
      <c r="M536" s="6"/>
      <c r="N536" s="6"/>
      <c r="O536" s="6"/>
      <c r="P536" s="6"/>
      <c r="Q536" s="6"/>
      <c r="R536" s="6"/>
      <c r="S536" s="6"/>
      <c r="T536" s="6"/>
      <c r="U536" s="6"/>
      <c r="V536" s="6"/>
      <c r="W536" s="6"/>
      <c r="X536" s="6"/>
      <c r="Y536" s="6"/>
      <c r="Z536" s="6"/>
    </row>
    <row r="537" ht="18.0" customHeight="1">
      <c r="A537" s="293" t="s">
        <v>2476</v>
      </c>
      <c r="B537" s="294" t="s">
        <v>2477</v>
      </c>
      <c r="C537" s="295"/>
      <c r="D537" s="20"/>
      <c r="E537" s="20"/>
      <c r="F537" s="6"/>
      <c r="G537" s="6"/>
      <c r="H537" s="6"/>
      <c r="I537" s="6"/>
      <c r="J537" s="6"/>
      <c r="K537" s="6"/>
      <c r="L537" s="6"/>
      <c r="M537" s="6"/>
      <c r="N537" s="6"/>
      <c r="O537" s="6"/>
      <c r="P537" s="6"/>
      <c r="Q537" s="6"/>
      <c r="R537" s="6"/>
      <c r="S537" s="6"/>
      <c r="T537" s="6"/>
      <c r="U537" s="6"/>
      <c r="V537" s="6"/>
      <c r="W537" s="6"/>
      <c r="X537" s="6"/>
      <c r="Y537" s="6"/>
      <c r="Z537" s="6"/>
    </row>
    <row r="538" ht="18.0" customHeight="1">
      <c r="A538" s="293" t="s">
        <v>2478</v>
      </c>
      <c r="B538" s="294" t="s">
        <v>2479</v>
      </c>
      <c r="C538" s="295"/>
      <c r="D538" s="20"/>
      <c r="E538" s="20"/>
      <c r="F538" s="6"/>
      <c r="G538" s="6"/>
      <c r="H538" s="6"/>
      <c r="I538" s="6"/>
      <c r="J538" s="6"/>
      <c r="K538" s="6"/>
      <c r="L538" s="6"/>
      <c r="M538" s="6"/>
      <c r="N538" s="6"/>
      <c r="O538" s="6"/>
      <c r="P538" s="6"/>
      <c r="Q538" s="6"/>
      <c r="R538" s="6"/>
      <c r="S538" s="6"/>
      <c r="T538" s="6"/>
      <c r="U538" s="6"/>
      <c r="V538" s="6"/>
      <c r="W538" s="6"/>
      <c r="X538" s="6"/>
      <c r="Y538" s="6"/>
      <c r="Z538" s="6"/>
    </row>
    <row r="539" ht="18.0" customHeight="1">
      <c r="A539" s="293" t="s">
        <v>2480</v>
      </c>
      <c r="B539" s="294" t="s">
        <v>2481</v>
      </c>
      <c r="C539" s="295"/>
      <c r="D539" s="20"/>
      <c r="E539" s="20"/>
      <c r="F539" s="6"/>
      <c r="G539" s="6"/>
      <c r="H539" s="6"/>
      <c r="I539" s="6"/>
      <c r="J539" s="6"/>
      <c r="K539" s="6"/>
      <c r="L539" s="6"/>
      <c r="M539" s="6"/>
      <c r="N539" s="6"/>
      <c r="O539" s="6"/>
      <c r="P539" s="6"/>
      <c r="Q539" s="6"/>
      <c r="R539" s="6"/>
      <c r="S539" s="6"/>
      <c r="T539" s="6"/>
      <c r="U539" s="6"/>
      <c r="V539" s="6"/>
      <c r="W539" s="6"/>
      <c r="X539" s="6"/>
      <c r="Y539" s="6"/>
      <c r="Z539" s="6"/>
    </row>
    <row r="540" ht="18.0" customHeight="1">
      <c r="A540" s="293" t="s">
        <v>2482</v>
      </c>
      <c r="B540" s="294" t="s">
        <v>2483</v>
      </c>
      <c r="C540" s="295"/>
      <c r="D540" s="20"/>
      <c r="E540" s="20"/>
      <c r="F540" s="6"/>
      <c r="G540" s="6"/>
      <c r="H540" s="6"/>
      <c r="I540" s="6"/>
      <c r="J540" s="6"/>
      <c r="K540" s="6"/>
      <c r="L540" s="6"/>
      <c r="M540" s="6"/>
      <c r="N540" s="6"/>
      <c r="O540" s="6"/>
      <c r="P540" s="6"/>
      <c r="Q540" s="6"/>
      <c r="R540" s="6"/>
      <c r="S540" s="6"/>
      <c r="T540" s="6"/>
      <c r="U540" s="6"/>
      <c r="V540" s="6"/>
      <c r="W540" s="6"/>
      <c r="X540" s="6"/>
      <c r="Y540" s="6"/>
      <c r="Z540" s="6"/>
    </row>
    <row r="541" ht="18.0" customHeight="1">
      <c r="A541" s="293" t="s">
        <v>2484</v>
      </c>
      <c r="B541" s="294" t="s">
        <v>2485</v>
      </c>
      <c r="C541" s="295"/>
      <c r="D541" s="20"/>
      <c r="E541" s="20"/>
      <c r="F541" s="6"/>
      <c r="G541" s="6"/>
      <c r="H541" s="6"/>
      <c r="I541" s="6"/>
      <c r="J541" s="6"/>
      <c r="K541" s="6"/>
      <c r="L541" s="6"/>
      <c r="M541" s="6"/>
      <c r="N541" s="6"/>
      <c r="O541" s="6"/>
      <c r="P541" s="6"/>
      <c r="Q541" s="6"/>
      <c r="R541" s="6"/>
      <c r="S541" s="6"/>
      <c r="T541" s="6"/>
      <c r="U541" s="6"/>
      <c r="V541" s="6"/>
      <c r="W541" s="6"/>
      <c r="X541" s="6"/>
      <c r="Y541" s="6"/>
      <c r="Z541" s="6"/>
    </row>
    <row r="542" ht="18.0" customHeight="1">
      <c r="A542" s="293" t="s">
        <v>2486</v>
      </c>
      <c r="B542" s="294" t="s">
        <v>2487</v>
      </c>
      <c r="C542" s="295"/>
      <c r="D542" s="20"/>
      <c r="E542" s="20"/>
      <c r="F542" s="6"/>
      <c r="G542" s="6"/>
      <c r="H542" s="6"/>
      <c r="I542" s="6"/>
      <c r="J542" s="6"/>
      <c r="K542" s="6"/>
      <c r="L542" s="6"/>
      <c r="M542" s="6"/>
      <c r="N542" s="6"/>
      <c r="O542" s="6"/>
      <c r="P542" s="6"/>
      <c r="Q542" s="6"/>
      <c r="R542" s="6"/>
      <c r="S542" s="6"/>
      <c r="T542" s="6"/>
      <c r="U542" s="6"/>
      <c r="V542" s="6"/>
      <c r="W542" s="6"/>
      <c r="X542" s="6"/>
      <c r="Y542" s="6"/>
      <c r="Z542" s="6"/>
    </row>
    <row r="543" ht="18.0" customHeight="1">
      <c r="A543" s="293" t="s">
        <v>2488</v>
      </c>
      <c r="B543" s="294" t="s">
        <v>2489</v>
      </c>
      <c r="C543" s="295"/>
      <c r="D543" s="20"/>
      <c r="E543" s="20"/>
      <c r="F543" s="6"/>
      <c r="G543" s="6"/>
      <c r="H543" s="6"/>
      <c r="I543" s="6"/>
      <c r="J543" s="6"/>
      <c r="K543" s="6"/>
      <c r="L543" s="6"/>
      <c r="M543" s="6"/>
      <c r="N543" s="6"/>
      <c r="O543" s="6"/>
      <c r="P543" s="6"/>
      <c r="Q543" s="6"/>
      <c r="R543" s="6"/>
      <c r="S543" s="6"/>
      <c r="T543" s="6"/>
      <c r="U543" s="6"/>
      <c r="V543" s="6"/>
      <c r="W543" s="6"/>
      <c r="X543" s="6"/>
      <c r="Y543" s="6"/>
      <c r="Z543" s="6"/>
    </row>
    <row r="544" ht="18.0" customHeight="1">
      <c r="A544" s="293" t="s">
        <v>2490</v>
      </c>
      <c r="B544" s="294" t="s">
        <v>2491</v>
      </c>
      <c r="C544" s="295"/>
      <c r="D544" s="20"/>
      <c r="E544" s="20"/>
      <c r="F544" s="6"/>
      <c r="G544" s="6"/>
      <c r="H544" s="6"/>
      <c r="I544" s="6"/>
      <c r="J544" s="6"/>
      <c r="K544" s="6"/>
      <c r="L544" s="6"/>
      <c r="M544" s="6"/>
      <c r="N544" s="6"/>
      <c r="O544" s="6"/>
      <c r="P544" s="6"/>
      <c r="Q544" s="6"/>
      <c r="R544" s="6"/>
      <c r="S544" s="6"/>
      <c r="T544" s="6"/>
      <c r="U544" s="6"/>
      <c r="V544" s="6"/>
      <c r="W544" s="6"/>
      <c r="X544" s="6"/>
      <c r="Y544" s="6"/>
      <c r="Z544" s="6"/>
    </row>
    <row r="545" ht="18.0" customHeight="1">
      <c r="A545" s="293" t="s">
        <v>2492</v>
      </c>
      <c r="B545" s="294" t="s">
        <v>2493</v>
      </c>
      <c r="C545" s="295"/>
      <c r="D545" s="20"/>
      <c r="E545" s="20"/>
      <c r="F545" s="6"/>
      <c r="G545" s="6"/>
      <c r="H545" s="6"/>
      <c r="I545" s="6"/>
      <c r="J545" s="6"/>
      <c r="K545" s="6"/>
      <c r="L545" s="6"/>
      <c r="M545" s="6"/>
      <c r="N545" s="6"/>
      <c r="O545" s="6"/>
      <c r="P545" s="6"/>
      <c r="Q545" s="6"/>
      <c r="R545" s="6"/>
      <c r="S545" s="6"/>
      <c r="T545" s="6"/>
      <c r="U545" s="6"/>
      <c r="V545" s="6"/>
      <c r="W545" s="6"/>
      <c r="X545" s="6"/>
      <c r="Y545" s="6"/>
      <c r="Z545" s="6"/>
    </row>
    <row r="546" ht="18.0" customHeight="1">
      <c r="A546" s="293" t="s">
        <v>2494</v>
      </c>
      <c r="B546" s="299" t="s">
        <v>2495</v>
      </c>
      <c r="C546" s="295"/>
      <c r="D546" s="20"/>
      <c r="E546" s="20"/>
      <c r="F546" s="6"/>
      <c r="G546" s="6"/>
      <c r="H546" s="6"/>
      <c r="I546" s="6"/>
      <c r="J546" s="6"/>
      <c r="K546" s="6"/>
      <c r="L546" s="6"/>
      <c r="M546" s="6"/>
      <c r="N546" s="6"/>
      <c r="O546" s="6"/>
      <c r="P546" s="6"/>
      <c r="Q546" s="6"/>
      <c r="R546" s="6"/>
      <c r="S546" s="6"/>
      <c r="T546" s="6"/>
      <c r="U546" s="6"/>
      <c r="V546" s="6"/>
      <c r="W546" s="6"/>
      <c r="X546" s="6"/>
      <c r="Y546" s="6"/>
      <c r="Z546" s="6"/>
    </row>
    <row r="547" ht="18.0" customHeight="1">
      <c r="A547" s="293" t="s">
        <v>2496</v>
      </c>
      <c r="B547" s="294" t="s">
        <v>2497</v>
      </c>
      <c r="C547" s="295"/>
      <c r="D547" s="20"/>
      <c r="E547" s="20"/>
      <c r="F547" s="6"/>
      <c r="G547" s="6"/>
      <c r="H547" s="6"/>
      <c r="I547" s="6"/>
      <c r="J547" s="6"/>
      <c r="K547" s="6"/>
      <c r="L547" s="6"/>
      <c r="M547" s="6"/>
      <c r="N547" s="6"/>
      <c r="O547" s="6"/>
      <c r="P547" s="6"/>
      <c r="Q547" s="6"/>
      <c r="R547" s="6"/>
      <c r="S547" s="6"/>
      <c r="T547" s="6"/>
      <c r="U547" s="6"/>
      <c r="V547" s="6"/>
      <c r="W547" s="6"/>
      <c r="X547" s="6"/>
      <c r="Y547" s="6"/>
      <c r="Z547" s="6"/>
    </row>
    <row r="548" ht="18.0" customHeight="1">
      <c r="A548" s="293" t="s">
        <v>2498</v>
      </c>
      <c r="B548" s="294" t="s">
        <v>2499</v>
      </c>
      <c r="C548" s="295"/>
      <c r="D548" s="20"/>
      <c r="E548" s="20"/>
      <c r="F548" s="6"/>
      <c r="G548" s="6"/>
      <c r="H548" s="6"/>
      <c r="I548" s="6"/>
      <c r="J548" s="6"/>
      <c r="K548" s="6"/>
      <c r="L548" s="6"/>
      <c r="M548" s="6"/>
      <c r="N548" s="6"/>
      <c r="O548" s="6"/>
      <c r="P548" s="6"/>
      <c r="Q548" s="6"/>
      <c r="R548" s="6"/>
      <c r="S548" s="6"/>
      <c r="T548" s="6"/>
      <c r="U548" s="6"/>
      <c r="V548" s="6"/>
      <c r="W548" s="6"/>
      <c r="X548" s="6"/>
      <c r="Y548" s="6"/>
      <c r="Z548" s="6"/>
    </row>
    <row r="549" ht="18.0" customHeight="1">
      <c r="A549" s="293" t="s">
        <v>2500</v>
      </c>
      <c r="B549" s="294" t="s">
        <v>2501</v>
      </c>
      <c r="C549" s="295"/>
      <c r="D549" s="20"/>
      <c r="E549" s="20"/>
      <c r="F549" s="6"/>
      <c r="G549" s="6"/>
      <c r="H549" s="6"/>
      <c r="I549" s="6"/>
      <c r="J549" s="6"/>
      <c r="K549" s="6"/>
      <c r="L549" s="6"/>
      <c r="M549" s="6"/>
      <c r="N549" s="6"/>
      <c r="O549" s="6"/>
      <c r="P549" s="6"/>
      <c r="Q549" s="6"/>
      <c r="R549" s="6"/>
      <c r="S549" s="6"/>
      <c r="T549" s="6"/>
      <c r="U549" s="6"/>
      <c r="V549" s="6"/>
      <c r="W549" s="6"/>
      <c r="X549" s="6"/>
      <c r="Y549" s="6"/>
      <c r="Z549" s="6"/>
    </row>
    <row r="550" ht="18.0" customHeight="1">
      <c r="A550" s="293" t="s">
        <v>2502</v>
      </c>
      <c r="B550" s="294" t="s">
        <v>2503</v>
      </c>
      <c r="C550" s="295"/>
      <c r="D550" s="20"/>
      <c r="E550" s="20"/>
      <c r="F550" s="6"/>
      <c r="G550" s="6"/>
      <c r="H550" s="6"/>
      <c r="I550" s="6"/>
      <c r="J550" s="6"/>
      <c r="K550" s="6"/>
      <c r="L550" s="6"/>
      <c r="M550" s="6"/>
      <c r="N550" s="6"/>
      <c r="O550" s="6"/>
      <c r="P550" s="6"/>
      <c r="Q550" s="6"/>
      <c r="R550" s="6"/>
      <c r="S550" s="6"/>
      <c r="T550" s="6"/>
      <c r="U550" s="6"/>
      <c r="V550" s="6"/>
      <c r="W550" s="6"/>
      <c r="X550" s="6"/>
      <c r="Y550" s="6"/>
      <c r="Z550" s="6"/>
    </row>
    <row r="551" ht="18.0" customHeight="1">
      <c r="A551" s="293" t="s">
        <v>2504</v>
      </c>
      <c r="B551" s="299" t="s">
        <v>2505</v>
      </c>
      <c r="C551" s="295"/>
      <c r="D551" s="20"/>
      <c r="E551" s="20"/>
      <c r="F551" s="6"/>
      <c r="G551" s="6"/>
      <c r="H551" s="6"/>
      <c r="I551" s="6"/>
      <c r="J551" s="6"/>
      <c r="K551" s="6"/>
      <c r="L551" s="6"/>
      <c r="M551" s="6"/>
      <c r="N551" s="6"/>
      <c r="O551" s="6"/>
      <c r="P551" s="6"/>
      <c r="Q551" s="6"/>
      <c r="R551" s="6"/>
      <c r="S551" s="6"/>
      <c r="T551" s="6"/>
      <c r="U551" s="6"/>
      <c r="V551" s="6"/>
      <c r="W551" s="6"/>
      <c r="X551" s="6"/>
      <c r="Y551" s="6"/>
      <c r="Z551" s="6"/>
    </row>
    <row r="552" ht="18.0" customHeight="1">
      <c r="A552" s="293" t="s">
        <v>2506</v>
      </c>
      <c r="B552" s="294" t="s">
        <v>2507</v>
      </c>
      <c r="C552" s="295"/>
      <c r="D552" s="20"/>
      <c r="E552" s="20"/>
      <c r="F552" s="6"/>
      <c r="G552" s="6"/>
      <c r="H552" s="6"/>
      <c r="I552" s="6"/>
      <c r="J552" s="6"/>
      <c r="K552" s="6"/>
      <c r="L552" s="6"/>
      <c r="M552" s="6"/>
      <c r="N552" s="6"/>
      <c r="O552" s="6"/>
      <c r="P552" s="6"/>
      <c r="Q552" s="6"/>
      <c r="R552" s="6"/>
      <c r="S552" s="6"/>
      <c r="T552" s="6"/>
      <c r="U552" s="6"/>
      <c r="V552" s="6"/>
      <c r="W552" s="6"/>
      <c r="X552" s="6"/>
      <c r="Y552" s="6"/>
      <c r="Z552" s="6"/>
    </row>
    <row r="553" ht="18.0" customHeight="1">
      <c r="A553" s="293" t="s">
        <v>2508</v>
      </c>
      <c r="B553" s="294" t="s">
        <v>2509</v>
      </c>
      <c r="C553" s="295"/>
      <c r="D553" s="20"/>
      <c r="E553" s="20"/>
      <c r="F553" s="6"/>
      <c r="G553" s="6"/>
      <c r="H553" s="6"/>
      <c r="I553" s="6"/>
      <c r="J553" s="6"/>
      <c r="K553" s="6"/>
      <c r="L553" s="6"/>
      <c r="M553" s="6"/>
      <c r="N553" s="6"/>
      <c r="O553" s="6"/>
      <c r="P553" s="6"/>
      <c r="Q553" s="6"/>
      <c r="R553" s="6"/>
      <c r="S553" s="6"/>
      <c r="T553" s="6"/>
      <c r="U553" s="6"/>
      <c r="V553" s="6"/>
      <c r="W553" s="6"/>
      <c r="X553" s="6"/>
      <c r="Y553" s="6"/>
      <c r="Z553" s="6"/>
    </row>
    <row r="554" ht="18.0" customHeight="1">
      <c r="A554" s="293" t="s">
        <v>2510</v>
      </c>
      <c r="B554" s="299" t="s">
        <v>2511</v>
      </c>
      <c r="C554" s="295"/>
      <c r="D554" s="20"/>
      <c r="E554" s="20"/>
      <c r="F554" s="6"/>
      <c r="G554" s="6"/>
      <c r="H554" s="6"/>
      <c r="I554" s="6"/>
      <c r="J554" s="6"/>
      <c r="K554" s="6"/>
      <c r="L554" s="6"/>
      <c r="M554" s="6"/>
      <c r="N554" s="6"/>
      <c r="O554" s="6"/>
      <c r="P554" s="6"/>
      <c r="Q554" s="6"/>
      <c r="R554" s="6"/>
      <c r="S554" s="6"/>
      <c r="T554" s="6"/>
      <c r="U554" s="6"/>
      <c r="V554" s="6"/>
      <c r="W554" s="6"/>
      <c r="X554" s="6"/>
      <c r="Y554" s="6"/>
      <c r="Z554" s="6"/>
    </row>
    <row r="555" ht="18.0" customHeight="1">
      <c r="A555" s="293" t="s">
        <v>2512</v>
      </c>
      <c r="B555" s="294" t="s">
        <v>2513</v>
      </c>
      <c r="C555" s="295"/>
      <c r="D555" s="20"/>
      <c r="E555" s="20"/>
      <c r="F555" s="6"/>
      <c r="G555" s="6"/>
      <c r="H555" s="6"/>
      <c r="I555" s="6"/>
      <c r="J555" s="6"/>
      <c r="K555" s="6"/>
      <c r="L555" s="6"/>
      <c r="M555" s="6"/>
      <c r="N555" s="6"/>
      <c r="O555" s="6"/>
      <c r="P555" s="6"/>
      <c r="Q555" s="6"/>
      <c r="R555" s="6"/>
      <c r="S555" s="6"/>
      <c r="T555" s="6"/>
      <c r="U555" s="6"/>
      <c r="V555" s="6"/>
      <c r="W555" s="6"/>
      <c r="X555" s="6"/>
      <c r="Y555" s="6"/>
      <c r="Z555" s="6"/>
    </row>
    <row r="556" ht="18.0" customHeight="1">
      <c r="A556" s="293" t="s">
        <v>2514</v>
      </c>
      <c r="B556" s="294" t="s">
        <v>2515</v>
      </c>
      <c r="C556" s="295"/>
      <c r="D556" s="20"/>
      <c r="E556" s="20"/>
      <c r="F556" s="6"/>
      <c r="G556" s="6"/>
      <c r="H556" s="6"/>
      <c r="I556" s="6"/>
      <c r="J556" s="6"/>
      <c r="K556" s="6"/>
      <c r="L556" s="6"/>
      <c r="M556" s="6"/>
      <c r="N556" s="6"/>
      <c r="O556" s="6"/>
      <c r="P556" s="6"/>
      <c r="Q556" s="6"/>
      <c r="R556" s="6"/>
      <c r="S556" s="6"/>
      <c r="T556" s="6"/>
      <c r="U556" s="6"/>
      <c r="V556" s="6"/>
      <c r="W556" s="6"/>
      <c r="X556" s="6"/>
      <c r="Y556" s="6"/>
      <c r="Z556" s="6"/>
    </row>
    <row r="557" ht="18.0" customHeight="1">
      <c r="A557" s="293" t="s">
        <v>2516</v>
      </c>
      <c r="B557" s="294" t="s">
        <v>2517</v>
      </c>
      <c r="C557" s="295"/>
      <c r="D557" s="20"/>
      <c r="E557" s="20"/>
      <c r="F557" s="6"/>
      <c r="G557" s="6"/>
      <c r="H557" s="6"/>
      <c r="I557" s="6"/>
      <c r="J557" s="6"/>
      <c r="K557" s="6"/>
      <c r="L557" s="6"/>
      <c r="M557" s="6"/>
      <c r="N557" s="6"/>
      <c r="O557" s="6"/>
      <c r="P557" s="6"/>
      <c r="Q557" s="6"/>
      <c r="R557" s="6"/>
      <c r="S557" s="6"/>
      <c r="T557" s="6"/>
      <c r="U557" s="6"/>
      <c r="V557" s="6"/>
      <c r="W557" s="6"/>
      <c r="X557" s="6"/>
      <c r="Y557" s="6"/>
      <c r="Z557" s="6"/>
    </row>
    <row r="558" ht="18.0" customHeight="1">
      <c r="A558" s="293" t="s">
        <v>2518</v>
      </c>
      <c r="B558" s="294" t="s">
        <v>2519</v>
      </c>
      <c r="C558" s="295"/>
      <c r="D558" s="20"/>
      <c r="E558" s="20"/>
      <c r="F558" s="6"/>
      <c r="G558" s="6"/>
      <c r="H558" s="6"/>
      <c r="I558" s="6"/>
      <c r="J558" s="6"/>
      <c r="K558" s="6"/>
      <c r="L558" s="6"/>
      <c r="M558" s="6"/>
      <c r="N558" s="6"/>
      <c r="O558" s="6"/>
      <c r="P558" s="6"/>
      <c r="Q558" s="6"/>
      <c r="R558" s="6"/>
      <c r="S558" s="6"/>
      <c r="T558" s="6"/>
      <c r="U558" s="6"/>
      <c r="V558" s="6"/>
      <c r="W558" s="6"/>
      <c r="X558" s="6"/>
      <c r="Y558" s="6"/>
      <c r="Z558" s="6"/>
    </row>
    <row r="559" ht="18.0" customHeight="1">
      <c r="A559" s="293" t="s">
        <v>2520</v>
      </c>
      <c r="B559" s="294" t="s">
        <v>2521</v>
      </c>
      <c r="C559" s="295"/>
      <c r="D559" s="20"/>
      <c r="E559" s="20"/>
      <c r="F559" s="6"/>
      <c r="G559" s="6"/>
      <c r="H559" s="6"/>
      <c r="I559" s="6"/>
      <c r="J559" s="6"/>
      <c r="K559" s="6"/>
      <c r="L559" s="6"/>
      <c r="M559" s="6"/>
      <c r="N559" s="6"/>
      <c r="O559" s="6"/>
      <c r="P559" s="6"/>
      <c r="Q559" s="6"/>
      <c r="R559" s="6"/>
      <c r="S559" s="6"/>
      <c r="T559" s="6"/>
      <c r="U559" s="6"/>
      <c r="V559" s="6"/>
      <c r="W559" s="6"/>
      <c r="X559" s="6"/>
      <c r="Y559" s="6"/>
      <c r="Z559" s="6"/>
    </row>
    <row r="560" ht="18.0" customHeight="1">
      <c r="A560" s="293" t="s">
        <v>2522</v>
      </c>
      <c r="B560" s="294" t="s">
        <v>2523</v>
      </c>
      <c r="C560" s="295"/>
      <c r="D560" s="20"/>
      <c r="E560" s="20"/>
      <c r="F560" s="6"/>
      <c r="G560" s="6"/>
      <c r="H560" s="6"/>
      <c r="I560" s="6"/>
      <c r="J560" s="6"/>
      <c r="K560" s="6"/>
      <c r="L560" s="6"/>
      <c r="M560" s="6"/>
      <c r="N560" s="6"/>
      <c r="O560" s="6"/>
      <c r="P560" s="6"/>
      <c r="Q560" s="6"/>
      <c r="R560" s="6"/>
      <c r="S560" s="6"/>
      <c r="T560" s="6"/>
      <c r="U560" s="6"/>
      <c r="V560" s="6"/>
      <c r="W560" s="6"/>
      <c r="X560" s="6"/>
      <c r="Y560" s="6"/>
      <c r="Z560" s="6"/>
    </row>
    <row r="561" ht="18.0" customHeight="1">
      <c r="A561" s="293" t="s">
        <v>2524</v>
      </c>
      <c r="B561" s="294" t="s">
        <v>2525</v>
      </c>
      <c r="C561" s="295"/>
      <c r="D561" s="20"/>
      <c r="E561" s="20"/>
      <c r="F561" s="6"/>
      <c r="G561" s="6"/>
      <c r="H561" s="6"/>
      <c r="I561" s="6"/>
      <c r="J561" s="6"/>
      <c r="K561" s="6"/>
      <c r="L561" s="6"/>
      <c r="M561" s="6"/>
      <c r="N561" s="6"/>
      <c r="O561" s="6"/>
      <c r="P561" s="6"/>
      <c r="Q561" s="6"/>
      <c r="R561" s="6"/>
      <c r="S561" s="6"/>
      <c r="T561" s="6"/>
      <c r="U561" s="6"/>
      <c r="V561" s="6"/>
      <c r="W561" s="6"/>
      <c r="X561" s="6"/>
      <c r="Y561" s="6"/>
      <c r="Z561" s="6"/>
    </row>
    <row r="562" ht="18.0" customHeight="1">
      <c r="A562" s="293" t="s">
        <v>2526</v>
      </c>
      <c r="B562" s="294" t="s">
        <v>2527</v>
      </c>
      <c r="C562" s="295"/>
      <c r="D562" s="20"/>
      <c r="E562" s="20"/>
      <c r="F562" s="6"/>
      <c r="G562" s="6"/>
      <c r="H562" s="6"/>
      <c r="I562" s="6"/>
      <c r="J562" s="6"/>
      <c r="K562" s="6"/>
      <c r="L562" s="6"/>
      <c r="M562" s="6"/>
      <c r="N562" s="6"/>
      <c r="O562" s="6"/>
      <c r="P562" s="6"/>
      <c r="Q562" s="6"/>
      <c r="R562" s="6"/>
      <c r="S562" s="6"/>
      <c r="T562" s="6"/>
      <c r="U562" s="6"/>
      <c r="V562" s="6"/>
      <c r="W562" s="6"/>
      <c r="X562" s="6"/>
      <c r="Y562" s="6"/>
      <c r="Z562" s="6"/>
    </row>
    <row r="563" ht="18.0" customHeight="1">
      <c r="A563" s="293" t="s">
        <v>2528</v>
      </c>
      <c r="B563" s="294" t="s">
        <v>2529</v>
      </c>
      <c r="C563" s="295"/>
      <c r="D563" s="20"/>
      <c r="E563" s="20"/>
      <c r="F563" s="6"/>
      <c r="G563" s="6"/>
      <c r="H563" s="6"/>
      <c r="I563" s="6"/>
      <c r="J563" s="6"/>
      <c r="K563" s="6"/>
      <c r="L563" s="6"/>
      <c r="M563" s="6"/>
      <c r="N563" s="6"/>
      <c r="O563" s="6"/>
      <c r="P563" s="6"/>
      <c r="Q563" s="6"/>
      <c r="R563" s="6"/>
      <c r="S563" s="6"/>
      <c r="T563" s="6"/>
      <c r="U563" s="6"/>
      <c r="V563" s="6"/>
      <c r="W563" s="6"/>
      <c r="X563" s="6"/>
      <c r="Y563" s="6"/>
      <c r="Z563" s="6"/>
    </row>
    <row r="564" ht="18.0" customHeight="1">
      <c r="A564" s="293" t="s">
        <v>2530</v>
      </c>
      <c r="B564" s="294" t="s">
        <v>2531</v>
      </c>
      <c r="C564" s="295"/>
      <c r="D564" s="20"/>
      <c r="E564" s="20"/>
      <c r="F564" s="6"/>
      <c r="G564" s="6"/>
      <c r="H564" s="6"/>
      <c r="I564" s="6"/>
      <c r="J564" s="6"/>
      <c r="K564" s="6"/>
      <c r="L564" s="6"/>
      <c r="M564" s="6"/>
      <c r="N564" s="6"/>
      <c r="O564" s="6"/>
      <c r="P564" s="6"/>
      <c r="Q564" s="6"/>
      <c r="R564" s="6"/>
      <c r="S564" s="6"/>
      <c r="T564" s="6"/>
      <c r="U564" s="6"/>
      <c r="V564" s="6"/>
      <c r="W564" s="6"/>
      <c r="X564" s="6"/>
      <c r="Y564" s="6"/>
      <c r="Z564" s="6"/>
    </row>
    <row r="565" ht="18.0" customHeight="1">
      <c r="A565" s="293" t="s">
        <v>2532</v>
      </c>
      <c r="B565" s="299" t="s">
        <v>2533</v>
      </c>
      <c r="C565" s="295"/>
      <c r="D565" s="20"/>
      <c r="E565" s="20"/>
      <c r="F565" s="6"/>
      <c r="G565" s="6"/>
      <c r="H565" s="6"/>
      <c r="I565" s="6"/>
      <c r="J565" s="6"/>
      <c r="K565" s="6"/>
      <c r="L565" s="6"/>
      <c r="M565" s="6"/>
      <c r="N565" s="6"/>
      <c r="O565" s="6"/>
      <c r="P565" s="6"/>
      <c r="Q565" s="6"/>
      <c r="R565" s="6"/>
      <c r="S565" s="6"/>
      <c r="T565" s="6"/>
      <c r="U565" s="6"/>
      <c r="V565" s="6"/>
      <c r="W565" s="6"/>
      <c r="X565" s="6"/>
      <c r="Y565" s="6"/>
      <c r="Z565" s="6"/>
    </row>
    <row r="566" ht="18.0" customHeight="1">
      <c r="A566" s="293" t="s">
        <v>2534</v>
      </c>
      <c r="B566" s="294" t="s">
        <v>2535</v>
      </c>
      <c r="C566" s="295"/>
      <c r="D566" s="20"/>
      <c r="E566" s="20"/>
      <c r="F566" s="6"/>
      <c r="G566" s="6"/>
      <c r="H566" s="6"/>
      <c r="I566" s="6"/>
      <c r="J566" s="6"/>
      <c r="K566" s="6"/>
      <c r="L566" s="6"/>
      <c r="M566" s="6"/>
      <c r="N566" s="6"/>
      <c r="O566" s="6"/>
      <c r="P566" s="6"/>
      <c r="Q566" s="6"/>
      <c r="R566" s="6"/>
      <c r="S566" s="6"/>
      <c r="T566" s="6"/>
      <c r="U566" s="6"/>
      <c r="V566" s="6"/>
      <c r="W566" s="6"/>
      <c r="X566" s="6"/>
      <c r="Y566" s="6"/>
      <c r="Z566" s="6"/>
    </row>
    <row r="567" ht="18.0" customHeight="1">
      <c r="A567" s="293" t="s">
        <v>2536</v>
      </c>
      <c r="B567" s="294" t="s">
        <v>2537</v>
      </c>
      <c r="C567" s="295"/>
      <c r="D567" s="20"/>
      <c r="E567" s="20"/>
      <c r="F567" s="6"/>
      <c r="G567" s="6"/>
      <c r="H567" s="6"/>
      <c r="I567" s="6"/>
      <c r="J567" s="6"/>
      <c r="K567" s="6"/>
      <c r="L567" s="6"/>
      <c r="M567" s="6"/>
      <c r="N567" s="6"/>
      <c r="O567" s="6"/>
      <c r="P567" s="6"/>
      <c r="Q567" s="6"/>
      <c r="R567" s="6"/>
      <c r="S567" s="6"/>
      <c r="T567" s="6"/>
      <c r="U567" s="6"/>
      <c r="V567" s="6"/>
      <c r="W567" s="6"/>
      <c r="X567" s="6"/>
      <c r="Y567" s="6"/>
      <c r="Z567" s="6"/>
    </row>
    <row r="568" ht="18.0" customHeight="1">
      <c r="A568" s="293" t="s">
        <v>2538</v>
      </c>
      <c r="B568" s="294" t="s">
        <v>2539</v>
      </c>
      <c r="C568" s="295"/>
      <c r="D568" s="20"/>
      <c r="E568" s="20"/>
      <c r="F568" s="6"/>
      <c r="G568" s="6"/>
      <c r="H568" s="6"/>
      <c r="I568" s="6"/>
      <c r="J568" s="6"/>
      <c r="K568" s="6"/>
      <c r="L568" s="6"/>
      <c r="M568" s="6"/>
      <c r="N568" s="6"/>
      <c r="O568" s="6"/>
      <c r="P568" s="6"/>
      <c r="Q568" s="6"/>
      <c r="R568" s="6"/>
      <c r="S568" s="6"/>
      <c r="T568" s="6"/>
      <c r="U568" s="6"/>
      <c r="V568" s="6"/>
      <c r="W568" s="6"/>
      <c r="X568" s="6"/>
      <c r="Y568" s="6"/>
      <c r="Z568" s="6"/>
    </row>
    <row r="569" ht="18.0" customHeight="1">
      <c r="A569" s="293" t="s">
        <v>2540</v>
      </c>
      <c r="B569" s="294" t="s">
        <v>2541</v>
      </c>
      <c r="C569" s="295"/>
      <c r="D569" s="20"/>
      <c r="E569" s="20"/>
      <c r="F569" s="6"/>
      <c r="G569" s="6"/>
      <c r="H569" s="6"/>
      <c r="I569" s="6"/>
      <c r="J569" s="6"/>
      <c r="K569" s="6"/>
      <c r="L569" s="6"/>
      <c r="M569" s="6"/>
      <c r="N569" s="6"/>
      <c r="O569" s="6"/>
      <c r="P569" s="6"/>
      <c r="Q569" s="6"/>
      <c r="R569" s="6"/>
      <c r="S569" s="6"/>
      <c r="T569" s="6"/>
      <c r="U569" s="6"/>
      <c r="V569" s="6"/>
      <c r="W569" s="6"/>
      <c r="X569" s="6"/>
      <c r="Y569" s="6"/>
      <c r="Z569" s="6"/>
    </row>
    <row r="570" ht="18.0" customHeight="1">
      <c r="A570" s="293" t="s">
        <v>2542</v>
      </c>
      <c r="B570" s="294" t="s">
        <v>2543</v>
      </c>
      <c r="C570" s="295"/>
      <c r="D570" s="20"/>
      <c r="E570" s="20"/>
      <c r="F570" s="6"/>
      <c r="G570" s="6"/>
      <c r="H570" s="6"/>
      <c r="I570" s="6"/>
      <c r="J570" s="6"/>
      <c r="K570" s="6"/>
      <c r="L570" s="6"/>
      <c r="M570" s="6"/>
      <c r="N570" s="6"/>
      <c r="O570" s="6"/>
      <c r="P570" s="6"/>
      <c r="Q570" s="6"/>
      <c r="R570" s="6"/>
      <c r="S570" s="6"/>
      <c r="T570" s="6"/>
      <c r="U570" s="6"/>
      <c r="V570" s="6"/>
      <c r="W570" s="6"/>
      <c r="X570" s="6"/>
      <c r="Y570" s="6"/>
      <c r="Z570" s="6"/>
    </row>
    <row r="571" ht="18.0" customHeight="1">
      <c r="A571" s="293" t="s">
        <v>2544</v>
      </c>
      <c r="B571" s="294" t="s">
        <v>2545</v>
      </c>
      <c r="C571" s="295"/>
      <c r="D571" s="20"/>
      <c r="E571" s="20"/>
      <c r="F571" s="6"/>
      <c r="G571" s="6"/>
      <c r="H571" s="6"/>
      <c r="I571" s="6"/>
      <c r="J571" s="6"/>
      <c r="K571" s="6"/>
      <c r="L571" s="6"/>
      <c r="M571" s="6"/>
      <c r="N571" s="6"/>
      <c r="O571" s="6"/>
      <c r="P571" s="6"/>
      <c r="Q571" s="6"/>
      <c r="R571" s="6"/>
      <c r="S571" s="6"/>
      <c r="T571" s="6"/>
      <c r="U571" s="6"/>
      <c r="V571" s="6"/>
      <c r="W571" s="6"/>
      <c r="X571" s="6"/>
      <c r="Y571" s="6"/>
      <c r="Z571" s="6"/>
    </row>
    <row r="572" ht="18.0" customHeight="1">
      <c r="A572" s="293" t="s">
        <v>2546</v>
      </c>
      <c r="B572" s="294" t="s">
        <v>2547</v>
      </c>
      <c r="C572" s="295"/>
      <c r="D572" s="20"/>
      <c r="E572" s="20"/>
      <c r="F572" s="6"/>
      <c r="G572" s="6"/>
      <c r="H572" s="6"/>
      <c r="I572" s="6"/>
      <c r="J572" s="6"/>
      <c r="K572" s="6"/>
      <c r="L572" s="6"/>
      <c r="M572" s="6"/>
      <c r="N572" s="6"/>
      <c r="O572" s="6"/>
      <c r="P572" s="6"/>
      <c r="Q572" s="6"/>
      <c r="R572" s="6"/>
      <c r="S572" s="6"/>
      <c r="T572" s="6"/>
      <c r="U572" s="6"/>
      <c r="V572" s="6"/>
      <c r="W572" s="6"/>
      <c r="X572" s="6"/>
      <c r="Y572" s="6"/>
      <c r="Z572" s="6"/>
    </row>
    <row r="573" ht="18.0" customHeight="1">
      <c r="A573" s="293" t="s">
        <v>2548</v>
      </c>
      <c r="B573" s="299" t="s">
        <v>2549</v>
      </c>
      <c r="C573" s="295"/>
      <c r="D573" s="20"/>
      <c r="E573" s="20"/>
      <c r="F573" s="6"/>
      <c r="G573" s="6"/>
      <c r="H573" s="6"/>
      <c r="I573" s="6"/>
      <c r="J573" s="6"/>
      <c r="K573" s="6"/>
      <c r="L573" s="6"/>
      <c r="M573" s="6"/>
      <c r="N573" s="6"/>
      <c r="O573" s="6"/>
      <c r="P573" s="6"/>
      <c r="Q573" s="6"/>
      <c r="R573" s="6"/>
      <c r="S573" s="6"/>
      <c r="T573" s="6"/>
      <c r="U573" s="6"/>
      <c r="V573" s="6"/>
      <c r="W573" s="6"/>
      <c r="X573" s="6"/>
      <c r="Y573" s="6"/>
      <c r="Z573" s="6"/>
    </row>
    <row r="574" ht="18.0" customHeight="1">
      <c r="A574" s="293" t="s">
        <v>2550</v>
      </c>
      <c r="B574" s="299" t="s">
        <v>2551</v>
      </c>
      <c r="C574" s="295"/>
      <c r="D574" s="20"/>
      <c r="E574" s="20"/>
      <c r="F574" s="6"/>
      <c r="G574" s="6"/>
      <c r="H574" s="6"/>
      <c r="I574" s="6"/>
      <c r="J574" s="6"/>
      <c r="K574" s="6"/>
      <c r="L574" s="6"/>
      <c r="M574" s="6"/>
      <c r="N574" s="6"/>
      <c r="O574" s="6"/>
      <c r="P574" s="6"/>
      <c r="Q574" s="6"/>
      <c r="R574" s="6"/>
      <c r="S574" s="6"/>
      <c r="T574" s="6"/>
      <c r="U574" s="6"/>
      <c r="V574" s="6"/>
      <c r="W574" s="6"/>
      <c r="X574" s="6"/>
      <c r="Y574" s="6"/>
      <c r="Z574" s="6"/>
    </row>
    <row r="575" ht="18.0" customHeight="1">
      <c r="A575" s="293" t="s">
        <v>2552</v>
      </c>
      <c r="B575" s="299" t="s">
        <v>2553</v>
      </c>
      <c r="C575" s="295"/>
      <c r="D575" s="20"/>
      <c r="E575" s="20"/>
      <c r="F575" s="6"/>
      <c r="G575" s="6"/>
      <c r="H575" s="6"/>
      <c r="I575" s="6"/>
      <c r="J575" s="6"/>
      <c r="K575" s="6"/>
      <c r="L575" s="6"/>
      <c r="M575" s="6"/>
      <c r="N575" s="6"/>
      <c r="O575" s="6"/>
      <c r="P575" s="6"/>
      <c r="Q575" s="6"/>
      <c r="R575" s="6"/>
      <c r="S575" s="6"/>
      <c r="T575" s="6"/>
      <c r="U575" s="6"/>
      <c r="V575" s="6"/>
      <c r="W575" s="6"/>
      <c r="X575" s="6"/>
      <c r="Y575" s="6"/>
      <c r="Z575" s="6"/>
    </row>
    <row r="576" ht="18.0" customHeight="1">
      <c r="A576" s="293" t="s">
        <v>2554</v>
      </c>
      <c r="B576" s="294" t="s">
        <v>2555</v>
      </c>
      <c r="C576" s="295"/>
      <c r="D576" s="20"/>
      <c r="E576" s="20"/>
      <c r="F576" s="6"/>
      <c r="G576" s="6"/>
      <c r="H576" s="6"/>
      <c r="I576" s="6"/>
      <c r="J576" s="6"/>
      <c r="K576" s="6"/>
      <c r="L576" s="6"/>
      <c r="M576" s="6"/>
      <c r="N576" s="6"/>
      <c r="O576" s="6"/>
      <c r="P576" s="6"/>
      <c r="Q576" s="6"/>
      <c r="R576" s="6"/>
      <c r="S576" s="6"/>
      <c r="T576" s="6"/>
      <c r="U576" s="6"/>
      <c r="V576" s="6"/>
      <c r="W576" s="6"/>
      <c r="X576" s="6"/>
      <c r="Y576" s="6"/>
      <c r="Z576" s="6"/>
    </row>
    <row r="577" ht="18.0" customHeight="1">
      <c r="A577" s="293" t="s">
        <v>2556</v>
      </c>
      <c r="B577" s="294" t="s">
        <v>2557</v>
      </c>
      <c r="C577" s="295"/>
      <c r="D577" s="20"/>
      <c r="E577" s="20"/>
      <c r="F577" s="6"/>
      <c r="G577" s="6"/>
      <c r="H577" s="6"/>
      <c r="I577" s="6"/>
      <c r="J577" s="6"/>
      <c r="K577" s="6"/>
      <c r="L577" s="6"/>
      <c r="M577" s="6"/>
      <c r="N577" s="6"/>
      <c r="O577" s="6"/>
      <c r="P577" s="6"/>
      <c r="Q577" s="6"/>
      <c r="R577" s="6"/>
      <c r="S577" s="6"/>
      <c r="T577" s="6"/>
      <c r="U577" s="6"/>
      <c r="V577" s="6"/>
      <c r="W577" s="6"/>
      <c r="X577" s="6"/>
      <c r="Y577" s="6"/>
      <c r="Z577" s="6"/>
    </row>
    <row r="578" ht="18.0" customHeight="1">
      <c r="A578" s="293" t="s">
        <v>2558</v>
      </c>
      <c r="B578" s="294" t="s">
        <v>2559</v>
      </c>
      <c r="C578" s="295"/>
      <c r="D578" s="20"/>
      <c r="E578" s="20"/>
      <c r="F578" s="6"/>
      <c r="G578" s="6"/>
      <c r="H578" s="6"/>
      <c r="I578" s="6"/>
      <c r="J578" s="6"/>
      <c r="K578" s="6"/>
      <c r="L578" s="6"/>
      <c r="M578" s="6"/>
      <c r="N578" s="6"/>
      <c r="O578" s="6"/>
      <c r="P578" s="6"/>
      <c r="Q578" s="6"/>
      <c r="R578" s="6"/>
      <c r="S578" s="6"/>
      <c r="T578" s="6"/>
      <c r="U578" s="6"/>
      <c r="V578" s="6"/>
      <c r="W578" s="6"/>
      <c r="X578" s="6"/>
      <c r="Y578" s="6"/>
      <c r="Z578" s="6"/>
    </row>
    <row r="579" ht="18.0" customHeight="1">
      <c r="A579" s="293" t="s">
        <v>2560</v>
      </c>
      <c r="B579" s="294" t="s">
        <v>2561</v>
      </c>
      <c r="C579" s="295"/>
      <c r="D579" s="20"/>
      <c r="E579" s="20"/>
      <c r="F579" s="6"/>
      <c r="G579" s="6"/>
      <c r="H579" s="6"/>
      <c r="I579" s="6"/>
      <c r="J579" s="6"/>
      <c r="K579" s="6"/>
      <c r="L579" s="6"/>
      <c r="M579" s="6"/>
      <c r="N579" s="6"/>
      <c r="O579" s="6"/>
      <c r="P579" s="6"/>
      <c r="Q579" s="6"/>
      <c r="R579" s="6"/>
      <c r="S579" s="6"/>
      <c r="T579" s="6"/>
      <c r="U579" s="6"/>
      <c r="V579" s="6"/>
      <c r="W579" s="6"/>
      <c r="X579" s="6"/>
      <c r="Y579" s="6"/>
      <c r="Z579" s="6"/>
    </row>
    <row r="580" ht="18.0" customHeight="1">
      <c r="A580" s="293" t="s">
        <v>2562</v>
      </c>
      <c r="B580" s="294" t="s">
        <v>2563</v>
      </c>
      <c r="C580" s="295"/>
      <c r="D580" s="20"/>
      <c r="E580" s="20"/>
      <c r="F580" s="6"/>
      <c r="G580" s="6"/>
      <c r="H580" s="6"/>
      <c r="I580" s="6"/>
      <c r="J580" s="6"/>
      <c r="K580" s="6"/>
      <c r="L580" s="6"/>
      <c r="M580" s="6"/>
      <c r="N580" s="6"/>
      <c r="O580" s="6"/>
      <c r="P580" s="6"/>
      <c r="Q580" s="6"/>
      <c r="R580" s="6"/>
      <c r="S580" s="6"/>
      <c r="T580" s="6"/>
      <c r="U580" s="6"/>
      <c r="V580" s="6"/>
      <c r="W580" s="6"/>
      <c r="X580" s="6"/>
      <c r="Y580" s="6"/>
      <c r="Z580" s="6"/>
    </row>
    <row r="581" ht="18.0" customHeight="1">
      <c r="A581" s="293" t="s">
        <v>2564</v>
      </c>
      <c r="B581" s="294" t="s">
        <v>2565</v>
      </c>
      <c r="C581" s="295"/>
      <c r="D581" s="20"/>
      <c r="E581" s="20"/>
      <c r="F581" s="6"/>
      <c r="G581" s="6"/>
      <c r="H581" s="6"/>
      <c r="I581" s="6"/>
      <c r="J581" s="6"/>
      <c r="K581" s="6"/>
      <c r="L581" s="6"/>
      <c r="M581" s="6"/>
      <c r="N581" s="6"/>
      <c r="O581" s="6"/>
      <c r="P581" s="6"/>
      <c r="Q581" s="6"/>
      <c r="R581" s="6"/>
      <c r="S581" s="6"/>
      <c r="T581" s="6"/>
      <c r="U581" s="6"/>
      <c r="V581" s="6"/>
      <c r="W581" s="6"/>
      <c r="X581" s="6"/>
      <c r="Y581" s="6"/>
      <c r="Z581" s="6"/>
    </row>
    <row r="582" ht="18.0" customHeight="1">
      <c r="A582" s="293" t="s">
        <v>2566</v>
      </c>
      <c r="B582" s="294" t="s">
        <v>2567</v>
      </c>
      <c r="C582" s="295"/>
      <c r="D582" s="20"/>
      <c r="E582" s="20"/>
      <c r="F582" s="6"/>
      <c r="G582" s="6"/>
      <c r="H582" s="6"/>
      <c r="I582" s="6"/>
      <c r="J582" s="6"/>
      <c r="K582" s="6"/>
      <c r="L582" s="6"/>
      <c r="M582" s="6"/>
      <c r="N582" s="6"/>
      <c r="O582" s="6"/>
      <c r="P582" s="6"/>
      <c r="Q582" s="6"/>
      <c r="R582" s="6"/>
      <c r="S582" s="6"/>
      <c r="T582" s="6"/>
      <c r="U582" s="6"/>
      <c r="V582" s="6"/>
      <c r="W582" s="6"/>
      <c r="X582" s="6"/>
      <c r="Y582" s="6"/>
      <c r="Z582" s="6"/>
    </row>
    <row r="583" ht="18.0" customHeight="1">
      <c r="A583" s="293" t="s">
        <v>2568</v>
      </c>
      <c r="B583" s="294" t="s">
        <v>2569</v>
      </c>
      <c r="C583" s="295"/>
      <c r="D583" s="20"/>
      <c r="E583" s="20"/>
      <c r="F583" s="6"/>
      <c r="G583" s="6"/>
      <c r="H583" s="6"/>
      <c r="I583" s="6"/>
      <c r="J583" s="6"/>
      <c r="K583" s="6"/>
      <c r="L583" s="6"/>
      <c r="M583" s="6"/>
      <c r="N583" s="6"/>
      <c r="O583" s="6"/>
      <c r="P583" s="6"/>
      <c r="Q583" s="6"/>
      <c r="R583" s="6"/>
      <c r="S583" s="6"/>
      <c r="T583" s="6"/>
      <c r="U583" s="6"/>
      <c r="V583" s="6"/>
      <c r="W583" s="6"/>
      <c r="X583" s="6"/>
      <c r="Y583" s="6"/>
      <c r="Z583" s="6"/>
    </row>
    <row r="584" ht="18.0" customHeight="1">
      <c r="A584" s="293" t="s">
        <v>2570</v>
      </c>
      <c r="B584" s="294" t="s">
        <v>2571</v>
      </c>
      <c r="C584" s="295"/>
      <c r="D584" s="20"/>
      <c r="E584" s="20"/>
      <c r="F584" s="6"/>
      <c r="G584" s="6"/>
      <c r="H584" s="6"/>
      <c r="I584" s="6"/>
      <c r="J584" s="6"/>
      <c r="K584" s="6"/>
      <c r="L584" s="6"/>
      <c r="M584" s="6"/>
      <c r="N584" s="6"/>
      <c r="O584" s="6"/>
      <c r="P584" s="6"/>
      <c r="Q584" s="6"/>
      <c r="R584" s="6"/>
      <c r="S584" s="6"/>
      <c r="T584" s="6"/>
      <c r="U584" s="6"/>
      <c r="V584" s="6"/>
      <c r="W584" s="6"/>
      <c r="X584" s="6"/>
      <c r="Y584" s="6"/>
      <c r="Z584" s="6"/>
    </row>
    <row r="585" ht="18.0" customHeight="1">
      <c r="A585" s="293" t="s">
        <v>2572</v>
      </c>
      <c r="B585" s="294" t="s">
        <v>2573</v>
      </c>
      <c r="C585" s="295"/>
      <c r="D585" s="20"/>
      <c r="E585" s="20"/>
      <c r="F585" s="6"/>
      <c r="G585" s="6"/>
      <c r="H585" s="6"/>
      <c r="I585" s="6"/>
      <c r="J585" s="6"/>
      <c r="K585" s="6"/>
      <c r="L585" s="6"/>
      <c r="M585" s="6"/>
      <c r="N585" s="6"/>
      <c r="O585" s="6"/>
      <c r="P585" s="6"/>
      <c r="Q585" s="6"/>
      <c r="R585" s="6"/>
      <c r="S585" s="6"/>
      <c r="T585" s="6"/>
      <c r="U585" s="6"/>
      <c r="V585" s="6"/>
      <c r="W585" s="6"/>
      <c r="X585" s="6"/>
      <c r="Y585" s="6"/>
      <c r="Z585" s="6"/>
    </row>
    <row r="586" ht="18.0" customHeight="1">
      <c r="A586" s="293" t="s">
        <v>2574</v>
      </c>
      <c r="B586" s="294" t="s">
        <v>2575</v>
      </c>
      <c r="C586" s="295"/>
      <c r="D586" s="20"/>
      <c r="E586" s="20"/>
      <c r="F586" s="6"/>
      <c r="G586" s="6"/>
      <c r="H586" s="6"/>
      <c r="I586" s="6"/>
      <c r="J586" s="6"/>
      <c r="K586" s="6"/>
      <c r="L586" s="6"/>
      <c r="M586" s="6"/>
      <c r="N586" s="6"/>
      <c r="O586" s="6"/>
      <c r="P586" s="6"/>
      <c r="Q586" s="6"/>
      <c r="R586" s="6"/>
      <c r="S586" s="6"/>
      <c r="T586" s="6"/>
      <c r="U586" s="6"/>
      <c r="V586" s="6"/>
      <c r="W586" s="6"/>
      <c r="X586" s="6"/>
      <c r="Y586" s="6"/>
      <c r="Z586" s="6"/>
    </row>
    <row r="587" ht="18.0" customHeight="1">
      <c r="A587" s="293" t="s">
        <v>2576</v>
      </c>
      <c r="B587" s="294" t="s">
        <v>2577</v>
      </c>
      <c r="C587" s="295"/>
      <c r="D587" s="20"/>
      <c r="E587" s="20"/>
      <c r="F587" s="6"/>
      <c r="G587" s="6"/>
      <c r="H587" s="6"/>
      <c r="I587" s="6"/>
      <c r="J587" s="6"/>
      <c r="K587" s="6"/>
      <c r="L587" s="6"/>
      <c r="M587" s="6"/>
      <c r="N587" s="6"/>
      <c r="O587" s="6"/>
      <c r="P587" s="6"/>
      <c r="Q587" s="6"/>
      <c r="R587" s="6"/>
      <c r="S587" s="6"/>
      <c r="T587" s="6"/>
      <c r="U587" s="6"/>
      <c r="V587" s="6"/>
      <c r="W587" s="6"/>
      <c r="X587" s="6"/>
      <c r="Y587" s="6"/>
      <c r="Z587" s="6"/>
    </row>
    <row r="588" ht="18.0" customHeight="1">
      <c r="A588" s="293" t="s">
        <v>2578</v>
      </c>
      <c r="B588" s="294" t="s">
        <v>2579</v>
      </c>
      <c r="C588" s="295"/>
      <c r="D588" s="20"/>
      <c r="E588" s="20"/>
      <c r="F588" s="6"/>
      <c r="G588" s="6"/>
      <c r="H588" s="6"/>
      <c r="I588" s="6"/>
      <c r="J588" s="6"/>
      <c r="K588" s="6"/>
      <c r="L588" s="6"/>
      <c r="M588" s="6"/>
      <c r="N588" s="6"/>
      <c r="O588" s="6"/>
      <c r="P588" s="6"/>
      <c r="Q588" s="6"/>
      <c r="R588" s="6"/>
      <c r="S588" s="6"/>
      <c r="T588" s="6"/>
      <c r="U588" s="6"/>
      <c r="V588" s="6"/>
      <c r="W588" s="6"/>
      <c r="X588" s="6"/>
      <c r="Y588" s="6"/>
      <c r="Z588" s="6"/>
    </row>
    <row r="589" ht="18.0" customHeight="1">
      <c r="A589" s="293" t="s">
        <v>2580</v>
      </c>
      <c r="B589" s="294" t="s">
        <v>2581</v>
      </c>
      <c r="C589" s="295"/>
      <c r="D589" s="20"/>
      <c r="E589" s="20"/>
      <c r="F589" s="6"/>
      <c r="G589" s="6"/>
      <c r="H589" s="6"/>
      <c r="I589" s="6"/>
      <c r="J589" s="6"/>
      <c r="K589" s="6"/>
      <c r="L589" s="6"/>
      <c r="M589" s="6"/>
      <c r="N589" s="6"/>
      <c r="O589" s="6"/>
      <c r="P589" s="6"/>
      <c r="Q589" s="6"/>
      <c r="R589" s="6"/>
      <c r="S589" s="6"/>
      <c r="T589" s="6"/>
      <c r="U589" s="6"/>
      <c r="V589" s="6"/>
      <c r="W589" s="6"/>
      <c r="X589" s="6"/>
      <c r="Y589" s="6"/>
      <c r="Z589" s="6"/>
    </row>
    <row r="590" ht="18.0" customHeight="1">
      <c r="A590" s="293" t="s">
        <v>2582</v>
      </c>
      <c r="B590" s="294" t="s">
        <v>2583</v>
      </c>
      <c r="C590" s="295"/>
      <c r="D590" s="20"/>
      <c r="E590" s="20"/>
      <c r="F590" s="6"/>
      <c r="G590" s="6"/>
      <c r="H590" s="6"/>
      <c r="I590" s="6"/>
      <c r="J590" s="6"/>
      <c r="K590" s="6"/>
      <c r="L590" s="6"/>
      <c r="M590" s="6"/>
      <c r="N590" s="6"/>
      <c r="O590" s="6"/>
      <c r="P590" s="6"/>
      <c r="Q590" s="6"/>
      <c r="R590" s="6"/>
      <c r="S590" s="6"/>
      <c r="T590" s="6"/>
      <c r="U590" s="6"/>
      <c r="V590" s="6"/>
      <c r="W590" s="6"/>
      <c r="X590" s="6"/>
      <c r="Y590" s="6"/>
      <c r="Z590" s="6"/>
    </row>
    <row r="591" ht="18.0" customHeight="1">
      <c r="A591" s="293" t="s">
        <v>2584</v>
      </c>
      <c r="B591" s="294" t="s">
        <v>2585</v>
      </c>
      <c r="C591" s="295"/>
      <c r="D591" s="20"/>
      <c r="E591" s="20"/>
      <c r="F591" s="6"/>
      <c r="G591" s="6"/>
      <c r="H591" s="6"/>
      <c r="I591" s="6"/>
      <c r="J591" s="6"/>
      <c r="K591" s="6"/>
      <c r="L591" s="6"/>
      <c r="M591" s="6"/>
      <c r="N591" s="6"/>
      <c r="O591" s="6"/>
      <c r="P591" s="6"/>
      <c r="Q591" s="6"/>
      <c r="R591" s="6"/>
      <c r="S591" s="6"/>
      <c r="T591" s="6"/>
      <c r="U591" s="6"/>
      <c r="V591" s="6"/>
      <c r="W591" s="6"/>
      <c r="X591" s="6"/>
      <c r="Y591" s="6"/>
      <c r="Z591" s="6"/>
    </row>
    <row r="592" ht="18.0" customHeight="1">
      <c r="A592" s="293" t="s">
        <v>2586</v>
      </c>
      <c r="B592" s="294" t="s">
        <v>2587</v>
      </c>
      <c r="C592" s="295"/>
      <c r="D592" s="20"/>
      <c r="E592" s="20"/>
      <c r="F592" s="6"/>
      <c r="G592" s="6"/>
      <c r="H592" s="6"/>
      <c r="I592" s="6"/>
      <c r="J592" s="6"/>
      <c r="K592" s="6"/>
      <c r="L592" s="6"/>
      <c r="M592" s="6"/>
      <c r="N592" s="6"/>
      <c r="O592" s="6"/>
      <c r="P592" s="6"/>
      <c r="Q592" s="6"/>
      <c r="R592" s="6"/>
      <c r="S592" s="6"/>
      <c r="T592" s="6"/>
      <c r="U592" s="6"/>
      <c r="V592" s="6"/>
      <c r="W592" s="6"/>
      <c r="X592" s="6"/>
      <c r="Y592" s="6"/>
      <c r="Z592" s="6"/>
    </row>
    <row r="593" ht="18.0" customHeight="1">
      <c r="A593" s="293" t="s">
        <v>2588</v>
      </c>
      <c r="B593" s="294" t="s">
        <v>2589</v>
      </c>
      <c r="C593" s="295"/>
      <c r="D593" s="20"/>
      <c r="E593" s="20"/>
      <c r="F593" s="6"/>
      <c r="G593" s="6"/>
      <c r="H593" s="6"/>
      <c r="I593" s="6"/>
      <c r="J593" s="6"/>
      <c r="K593" s="6"/>
      <c r="L593" s="6"/>
      <c r="M593" s="6"/>
      <c r="N593" s="6"/>
      <c r="O593" s="6"/>
      <c r="P593" s="6"/>
      <c r="Q593" s="6"/>
      <c r="R593" s="6"/>
      <c r="S593" s="6"/>
      <c r="T593" s="6"/>
      <c r="U593" s="6"/>
      <c r="V593" s="6"/>
      <c r="W593" s="6"/>
      <c r="X593" s="6"/>
      <c r="Y593" s="6"/>
      <c r="Z593" s="6"/>
    </row>
    <row r="594" ht="18.0" customHeight="1">
      <c r="A594" s="293" t="s">
        <v>2590</v>
      </c>
      <c r="B594" s="294" t="s">
        <v>2591</v>
      </c>
      <c r="C594" s="295"/>
      <c r="D594" s="20"/>
      <c r="E594" s="20"/>
      <c r="F594" s="6"/>
      <c r="G594" s="6"/>
      <c r="H594" s="6"/>
      <c r="I594" s="6"/>
      <c r="J594" s="6"/>
      <c r="K594" s="6"/>
      <c r="L594" s="6"/>
      <c r="M594" s="6"/>
      <c r="N594" s="6"/>
      <c r="O594" s="6"/>
      <c r="P594" s="6"/>
      <c r="Q594" s="6"/>
      <c r="R594" s="6"/>
      <c r="S594" s="6"/>
      <c r="T594" s="6"/>
      <c r="U594" s="6"/>
      <c r="V594" s="6"/>
      <c r="W594" s="6"/>
      <c r="X594" s="6"/>
      <c r="Y594" s="6"/>
      <c r="Z594" s="6"/>
    </row>
    <row r="595" ht="18.0" customHeight="1">
      <c r="A595" s="293" t="s">
        <v>2592</v>
      </c>
      <c r="B595" s="294" t="s">
        <v>2593</v>
      </c>
      <c r="C595" s="295"/>
      <c r="D595" s="20"/>
      <c r="E595" s="20"/>
      <c r="F595" s="6"/>
      <c r="G595" s="6"/>
      <c r="H595" s="6"/>
      <c r="I595" s="6"/>
      <c r="J595" s="6"/>
      <c r="K595" s="6"/>
      <c r="L595" s="6"/>
      <c r="M595" s="6"/>
      <c r="N595" s="6"/>
      <c r="O595" s="6"/>
      <c r="P595" s="6"/>
      <c r="Q595" s="6"/>
      <c r="R595" s="6"/>
      <c r="S595" s="6"/>
      <c r="T595" s="6"/>
      <c r="U595" s="6"/>
      <c r="V595" s="6"/>
      <c r="W595" s="6"/>
      <c r="X595" s="6"/>
      <c r="Y595" s="6"/>
      <c r="Z595" s="6"/>
    </row>
    <row r="596" ht="18.0" customHeight="1">
      <c r="A596" s="293" t="s">
        <v>2594</v>
      </c>
      <c r="B596" s="294" t="s">
        <v>2595</v>
      </c>
      <c r="C596" s="295"/>
      <c r="D596" s="20"/>
      <c r="E596" s="20"/>
      <c r="F596" s="6"/>
      <c r="G596" s="6"/>
      <c r="H596" s="6"/>
      <c r="I596" s="6"/>
      <c r="J596" s="6"/>
      <c r="K596" s="6"/>
      <c r="L596" s="6"/>
      <c r="M596" s="6"/>
      <c r="N596" s="6"/>
      <c r="O596" s="6"/>
      <c r="P596" s="6"/>
      <c r="Q596" s="6"/>
      <c r="R596" s="6"/>
      <c r="S596" s="6"/>
      <c r="T596" s="6"/>
      <c r="U596" s="6"/>
      <c r="V596" s="6"/>
      <c r="W596" s="6"/>
      <c r="X596" s="6"/>
      <c r="Y596" s="6"/>
      <c r="Z596" s="6"/>
    </row>
    <row r="597" ht="18.0" customHeight="1">
      <c r="A597" s="293" t="s">
        <v>2596</v>
      </c>
      <c r="B597" s="294" t="s">
        <v>2597</v>
      </c>
      <c r="C597" s="295"/>
      <c r="D597" s="20"/>
      <c r="E597" s="20"/>
      <c r="F597" s="6"/>
      <c r="G597" s="6"/>
      <c r="H597" s="6"/>
      <c r="I597" s="6"/>
      <c r="J597" s="6"/>
      <c r="K597" s="6"/>
      <c r="L597" s="6"/>
      <c r="M597" s="6"/>
      <c r="N597" s="6"/>
      <c r="O597" s="6"/>
      <c r="P597" s="6"/>
      <c r="Q597" s="6"/>
      <c r="R597" s="6"/>
      <c r="S597" s="6"/>
      <c r="T597" s="6"/>
      <c r="U597" s="6"/>
      <c r="V597" s="6"/>
      <c r="W597" s="6"/>
      <c r="X597" s="6"/>
      <c r="Y597" s="6"/>
      <c r="Z597" s="6"/>
    </row>
    <row r="598" ht="18.0" customHeight="1">
      <c r="A598" s="293" t="s">
        <v>2598</v>
      </c>
      <c r="B598" s="299" t="s">
        <v>2599</v>
      </c>
      <c r="C598" s="295"/>
      <c r="D598" s="20"/>
      <c r="E598" s="20"/>
      <c r="F598" s="6"/>
      <c r="G598" s="6"/>
      <c r="H598" s="6"/>
      <c r="I598" s="6"/>
      <c r="J598" s="6"/>
      <c r="K598" s="6"/>
      <c r="L598" s="6"/>
      <c r="M598" s="6"/>
      <c r="N598" s="6"/>
      <c r="O598" s="6"/>
      <c r="P598" s="6"/>
      <c r="Q598" s="6"/>
      <c r="R598" s="6"/>
      <c r="S598" s="6"/>
      <c r="T598" s="6"/>
      <c r="U598" s="6"/>
      <c r="V598" s="6"/>
      <c r="W598" s="6"/>
      <c r="X598" s="6"/>
      <c r="Y598" s="6"/>
      <c r="Z598" s="6"/>
    </row>
    <row r="599" ht="18.0" customHeight="1">
      <c r="A599" s="293" t="s">
        <v>2600</v>
      </c>
      <c r="B599" s="294" t="s">
        <v>2601</v>
      </c>
      <c r="C599" s="295"/>
      <c r="D599" s="20"/>
      <c r="E599" s="20"/>
      <c r="F599" s="6"/>
      <c r="G599" s="6"/>
      <c r="H599" s="6"/>
      <c r="I599" s="6"/>
      <c r="J599" s="6"/>
      <c r="K599" s="6"/>
      <c r="L599" s="6"/>
      <c r="M599" s="6"/>
      <c r="N599" s="6"/>
      <c r="O599" s="6"/>
      <c r="P599" s="6"/>
      <c r="Q599" s="6"/>
      <c r="R599" s="6"/>
      <c r="S599" s="6"/>
      <c r="T599" s="6"/>
      <c r="U599" s="6"/>
      <c r="V599" s="6"/>
      <c r="W599" s="6"/>
      <c r="X599" s="6"/>
      <c r="Y599" s="6"/>
      <c r="Z599" s="6"/>
    </row>
    <row r="600" ht="18.0" customHeight="1">
      <c r="A600" s="293" t="s">
        <v>2602</v>
      </c>
      <c r="B600" s="294" t="s">
        <v>2603</v>
      </c>
      <c r="C600" s="295"/>
      <c r="D600" s="20"/>
      <c r="E600" s="20"/>
      <c r="F600" s="6"/>
      <c r="G600" s="6"/>
      <c r="H600" s="6"/>
      <c r="I600" s="6"/>
      <c r="J600" s="6"/>
      <c r="K600" s="6"/>
      <c r="L600" s="6"/>
      <c r="M600" s="6"/>
      <c r="N600" s="6"/>
      <c r="O600" s="6"/>
      <c r="P600" s="6"/>
      <c r="Q600" s="6"/>
      <c r="R600" s="6"/>
      <c r="S600" s="6"/>
      <c r="T600" s="6"/>
      <c r="U600" s="6"/>
      <c r="V600" s="6"/>
      <c r="W600" s="6"/>
      <c r="X600" s="6"/>
      <c r="Y600" s="6"/>
      <c r="Z600" s="6"/>
    </row>
    <row r="601" ht="18.0" customHeight="1">
      <c r="A601" s="293" t="s">
        <v>2604</v>
      </c>
      <c r="B601" s="294" t="s">
        <v>2605</v>
      </c>
      <c r="C601" s="295"/>
      <c r="D601" s="20"/>
      <c r="E601" s="20"/>
      <c r="F601" s="6"/>
      <c r="G601" s="6"/>
      <c r="H601" s="6"/>
      <c r="I601" s="6"/>
      <c r="J601" s="6"/>
      <c r="K601" s="6"/>
      <c r="L601" s="6"/>
      <c r="M601" s="6"/>
      <c r="N601" s="6"/>
      <c r="O601" s="6"/>
      <c r="P601" s="6"/>
      <c r="Q601" s="6"/>
      <c r="R601" s="6"/>
      <c r="S601" s="6"/>
      <c r="T601" s="6"/>
      <c r="U601" s="6"/>
      <c r="V601" s="6"/>
      <c r="W601" s="6"/>
      <c r="X601" s="6"/>
      <c r="Y601" s="6"/>
      <c r="Z601" s="6"/>
    </row>
    <row r="602" ht="18.0" customHeight="1">
      <c r="A602" s="293" t="s">
        <v>2606</v>
      </c>
      <c r="B602" s="294" t="s">
        <v>2607</v>
      </c>
      <c r="C602" s="295"/>
      <c r="D602" s="20"/>
      <c r="E602" s="20"/>
      <c r="F602" s="6"/>
      <c r="G602" s="6"/>
      <c r="H602" s="6"/>
      <c r="I602" s="6"/>
      <c r="J602" s="6"/>
      <c r="K602" s="6"/>
      <c r="L602" s="6"/>
      <c r="M602" s="6"/>
      <c r="N602" s="6"/>
      <c r="O602" s="6"/>
      <c r="P602" s="6"/>
      <c r="Q602" s="6"/>
      <c r="R602" s="6"/>
      <c r="S602" s="6"/>
      <c r="T602" s="6"/>
      <c r="U602" s="6"/>
      <c r="V602" s="6"/>
      <c r="W602" s="6"/>
      <c r="X602" s="6"/>
      <c r="Y602" s="6"/>
      <c r="Z602" s="6"/>
    </row>
    <row r="603" ht="18.0" customHeight="1">
      <c r="A603" s="293" t="s">
        <v>2608</v>
      </c>
      <c r="B603" s="294" t="s">
        <v>2609</v>
      </c>
      <c r="C603" s="295"/>
      <c r="D603" s="20"/>
      <c r="E603" s="20"/>
      <c r="F603" s="6"/>
      <c r="G603" s="6"/>
      <c r="H603" s="6"/>
      <c r="I603" s="6"/>
      <c r="J603" s="6"/>
      <c r="K603" s="6"/>
      <c r="L603" s="6"/>
      <c r="M603" s="6"/>
      <c r="N603" s="6"/>
      <c r="O603" s="6"/>
      <c r="P603" s="6"/>
      <c r="Q603" s="6"/>
      <c r="R603" s="6"/>
      <c r="S603" s="6"/>
      <c r="T603" s="6"/>
      <c r="U603" s="6"/>
      <c r="V603" s="6"/>
      <c r="W603" s="6"/>
      <c r="X603" s="6"/>
      <c r="Y603" s="6"/>
      <c r="Z603" s="6"/>
    </row>
    <row r="604" ht="18.0" customHeight="1">
      <c r="A604" s="293" t="s">
        <v>2610</v>
      </c>
      <c r="B604" s="299" t="s">
        <v>2611</v>
      </c>
      <c r="C604" s="295"/>
      <c r="D604" s="20"/>
      <c r="E604" s="20"/>
      <c r="F604" s="6"/>
      <c r="G604" s="6"/>
      <c r="H604" s="6"/>
      <c r="I604" s="6"/>
      <c r="J604" s="6"/>
      <c r="K604" s="6"/>
      <c r="L604" s="6"/>
      <c r="M604" s="6"/>
      <c r="N604" s="6"/>
      <c r="O604" s="6"/>
      <c r="P604" s="6"/>
      <c r="Q604" s="6"/>
      <c r="R604" s="6"/>
      <c r="S604" s="6"/>
      <c r="T604" s="6"/>
      <c r="U604" s="6"/>
      <c r="V604" s="6"/>
      <c r="W604" s="6"/>
      <c r="X604" s="6"/>
      <c r="Y604" s="6"/>
      <c r="Z604" s="6"/>
    </row>
    <row r="605" ht="18.0" customHeight="1">
      <c r="A605" s="293" t="s">
        <v>2612</v>
      </c>
      <c r="B605" s="294" t="s">
        <v>2613</v>
      </c>
      <c r="C605" s="295"/>
      <c r="D605" s="20"/>
      <c r="E605" s="20"/>
      <c r="F605" s="6"/>
      <c r="G605" s="6"/>
      <c r="H605" s="6"/>
      <c r="I605" s="6"/>
      <c r="J605" s="6"/>
      <c r="K605" s="6"/>
      <c r="L605" s="6"/>
      <c r="M605" s="6"/>
      <c r="N605" s="6"/>
      <c r="O605" s="6"/>
      <c r="P605" s="6"/>
      <c r="Q605" s="6"/>
      <c r="R605" s="6"/>
      <c r="S605" s="6"/>
      <c r="T605" s="6"/>
      <c r="U605" s="6"/>
      <c r="V605" s="6"/>
      <c r="W605" s="6"/>
      <c r="X605" s="6"/>
      <c r="Y605" s="6"/>
      <c r="Z605" s="6"/>
    </row>
    <row r="606" ht="18.0" customHeight="1">
      <c r="A606" s="293" t="s">
        <v>2614</v>
      </c>
      <c r="B606" s="294" t="s">
        <v>2615</v>
      </c>
      <c r="C606" s="295"/>
      <c r="D606" s="20"/>
      <c r="E606" s="20"/>
      <c r="F606" s="6"/>
      <c r="G606" s="6"/>
      <c r="H606" s="6"/>
      <c r="I606" s="6"/>
      <c r="J606" s="6"/>
      <c r="K606" s="6"/>
      <c r="L606" s="6"/>
      <c r="M606" s="6"/>
      <c r="N606" s="6"/>
      <c r="O606" s="6"/>
      <c r="P606" s="6"/>
      <c r="Q606" s="6"/>
      <c r="R606" s="6"/>
      <c r="S606" s="6"/>
      <c r="T606" s="6"/>
      <c r="U606" s="6"/>
      <c r="V606" s="6"/>
      <c r="W606" s="6"/>
      <c r="X606" s="6"/>
      <c r="Y606" s="6"/>
      <c r="Z606" s="6"/>
    </row>
    <row r="607" ht="18.0" customHeight="1">
      <c r="A607" s="293" t="s">
        <v>2616</v>
      </c>
      <c r="B607" s="294" t="s">
        <v>2617</v>
      </c>
      <c r="C607" s="295"/>
      <c r="D607" s="20"/>
      <c r="E607" s="20"/>
      <c r="F607" s="6"/>
      <c r="G607" s="6"/>
      <c r="H607" s="6"/>
      <c r="I607" s="6"/>
      <c r="J607" s="6"/>
      <c r="K607" s="6"/>
      <c r="L607" s="6"/>
      <c r="M607" s="6"/>
      <c r="N607" s="6"/>
      <c r="O607" s="6"/>
      <c r="P607" s="6"/>
      <c r="Q607" s="6"/>
      <c r="R607" s="6"/>
      <c r="S607" s="6"/>
      <c r="T607" s="6"/>
      <c r="U607" s="6"/>
      <c r="V607" s="6"/>
      <c r="W607" s="6"/>
      <c r="X607" s="6"/>
      <c r="Y607" s="6"/>
      <c r="Z607" s="6"/>
    </row>
    <row r="608" ht="18.0" customHeight="1">
      <c r="A608" s="293" t="s">
        <v>2618</v>
      </c>
      <c r="B608" s="294" t="s">
        <v>2619</v>
      </c>
      <c r="C608" s="295"/>
      <c r="D608" s="20"/>
      <c r="E608" s="20"/>
      <c r="F608" s="6"/>
      <c r="G608" s="6"/>
      <c r="H608" s="6"/>
      <c r="I608" s="6"/>
      <c r="J608" s="6"/>
      <c r="K608" s="6"/>
      <c r="L608" s="6"/>
      <c r="M608" s="6"/>
      <c r="N608" s="6"/>
      <c r="O608" s="6"/>
      <c r="P608" s="6"/>
      <c r="Q608" s="6"/>
      <c r="R608" s="6"/>
      <c r="S608" s="6"/>
      <c r="T608" s="6"/>
      <c r="U608" s="6"/>
      <c r="V608" s="6"/>
      <c r="W608" s="6"/>
      <c r="X608" s="6"/>
      <c r="Y608" s="6"/>
      <c r="Z608" s="6"/>
    </row>
    <row r="609" ht="18.0" customHeight="1">
      <c r="A609" s="293" t="s">
        <v>2620</v>
      </c>
      <c r="B609" s="294" t="s">
        <v>2621</v>
      </c>
      <c r="C609" s="295"/>
      <c r="D609" s="20"/>
      <c r="E609" s="20"/>
      <c r="F609" s="6"/>
      <c r="G609" s="6"/>
      <c r="H609" s="6"/>
      <c r="I609" s="6"/>
      <c r="J609" s="6"/>
      <c r="K609" s="6"/>
      <c r="L609" s="6"/>
      <c r="M609" s="6"/>
      <c r="N609" s="6"/>
      <c r="O609" s="6"/>
      <c r="P609" s="6"/>
      <c r="Q609" s="6"/>
      <c r="R609" s="6"/>
      <c r="S609" s="6"/>
      <c r="T609" s="6"/>
      <c r="U609" s="6"/>
      <c r="V609" s="6"/>
      <c r="W609" s="6"/>
      <c r="X609" s="6"/>
      <c r="Y609" s="6"/>
      <c r="Z609" s="6"/>
    </row>
    <row r="610" ht="18.0" customHeight="1">
      <c r="A610" s="293" t="s">
        <v>2622</v>
      </c>
      <c r="B610" s="294" t="s">
        <v>2623</v>
      </c>
      <c r="C610" s="295"/>
      <c r="D610" s="20"/>
      <c r="E610" s="20"/>
      <c r="F610" s="6"/>
      <c r="G610" s="6"/>
      <c r="H610" s="6"/>
      <c r="I610" s="6"/>
      <c r="J610" s="6"/>
      <c r="K610" s="6"/>
      <c r="L610" s="6"/>
      <c r="M610" s="6"/>
      <c r="N610" s="6"/>
      <c r="O610" s="6"/>
      <c r="P610" s="6"/>
      <c r="Q610" s="6"/>
      <c r="R610" s="6"/>
      <c r="S610" s="6"/>
      <c r="T610" s="6"/>
      <c r="U610" s="6"/>
      <c r="V610" s="6"/>
      <c r="W610" s="6"/>
      <c r="X610" s="6"/>
      <c r="Y610" s="6"/>
      <c r="Z610" s="6"/>
    </row>
    <row r="611" ht="18.0" customHeight="1">
      <c r="A611" s="293" t="s">
        <v>2624</v>
      </c>
      <c r="B611" s="294" t="s">
        <v>2625</v>
      </c>
      <c r="C611" s="295"/>
      <c r="D611" s="20"/>
      <c r="E611" s="20"/>
      <c r="F611" s="6"/>
      <c r="G611" s="6"/>
      <c r="H611" s="6"/>
      <c r="I611" s="6"/>
      <c r="J611" s="6"/>
      <c r="K611" s="6"/>
      <c r="L611" s="6"/>
      <c r="M611" s="6"/>
      <c r="N611" s="6"/>
      <c r="O611" s="6"/>
      <c r="P611" s="6"/>
      <c r="Q611" s="6"/>
      <c r="R611" s="6"/>
      <c r="S611" s="6"/>
      <c r="T611" s="6"/>
      <c r="U611" s="6"/>
      <c r="V611" s="6"/>
      <c r="W611" s="6"/>
      <c r="X611" s="6"/>
      <c r="Y611" s="6"/>
      <c r="Z611" s="6"/>
    </row>
    <row r="612" ht="18.0" customHeight="1">
      <c r="A612" s="293" t="s">
        <v>2626</v>
      </c>
      <c r="B612" s="294" t="s">
        <v>2627</v>
      </c>
      <c r="C612" s="295"/>
      <c r="D612" s="20"/>
      <c r="E612" s="20"/>
      <c r="F612" s="6"/>
      <c r="G612" s="6"/>
      <c r="H612" s="6"/>
      <c r="I612" s="6"/>
      <c r="J612" s="6"/>
      <c r="K612" s="6"/>
      <c r="L612" s="6"/>
      <c r="M612" s="6"/>
      <c r="N612" s="6"/>
      <c r="O612" s="6"/>
      <c r="P612" s="6"/>
      <c r="Q612" s="6"/>
      <c r="R612" s="6"/>
      <c r="S612" s="6"/>
      <c r="T612" s="6"/>
      <c r="U612" s="6"/>
      <c r="V612" s="6"/>
      <c r="W612" s="6"/>
      <c r="X612" s="6"/>
      <c r="Y612" s="6"/>
      <c r="Z612" s="6"/>
    </row>
    <row r="613" ht="18.0" customHeight="1">
      <c r="A613" s="293" t="s">
        <v>2628</v>
      </c>
      <c r="B613" s="294" t="s">
        <v>2629</v>
      </c>
      <c r="C613" s="295"/>
      <c r="D613" s="20"/>
      <c r="E613" s="20"/>
      <c r="F613" s="6"/>
      <c r="G613" s="6"/>
      <c r="H613" s="6"/>
      <c r="I613" s="6"/>
      <c r="J613" s="6"/>
      <c r="K613" s="6"/>
      <c r="L613" s="6"/>
      <c r="M613" s="6"/>
      <c r="N613" s="6"/>
      <c r="O613" s="6"/>
      <c r="P613" s="6"/>
      <c r="Q613" s="6"/>
      <c r="R613" s="6"/>
      <c r="S613" s="6"/>
      <c r="T613" s="6"/>
      <c r="U613" s="6"/>
      <c r="V613" s="6"/>
      <c r="W613" s="6"/>
      <c r="X613" s="6"/>
      <c r="Y613" s="6"/>
      <c r="Z613" s="6"/>
    </row>
    <row r="614" ht="18.0" customHeight="1">
      <c r="A614" s="293" t="s">
        <v>2630</v>
      </c>
      <c r="B614" s="294" t="s">
        <v>2631</v>
      </c>
      <c r="C614" s="295"/>
      <c r="D614" s="20"/>
      <c r="E614" s="20"/>
      <c r="F614" s="6"/>
      <c r="G614" s="6"/>
      <c r="H614" s="6"/>
      <c r="I614" s="6"/>
      <c r="J614" s="6"/>
      <c r="K614" s="6"/>
      <c r="L614" s="6"/>
      <c r="M614" s="6"/>
      <c r="N614" s="6"/>
      <c r="O614" s="6"/>
      <c r="P614" s="6"/>
      <c r="Q614" s="6"/>
      <c r="R614" s="6"/>
      <c r="S614" s="6"/>
      <c r="T614" s="6"/>
      <c r="U614" s="6"/>
      <c r="V614" s="6"/>
      <c r="W614" s="6"/>
      <c r="X614" s="6"/>
      <c r="Y614" s="6"/>
      <c r="Z614" s="6"/>
    </row>
    <row r="615" ht="18.0" customHeight="1">
      <c r="A615" s="293" t="s">
        <v>2632</v>
      </c>
      <c r="B615" s="294" t="s">
        <v>2633</v>
      </c>
      <c r="C615" s="295"/>
      <c r="D615" s="20"/>
      <c r="E615" s="20"/>
      <c r="F615" s="6"/>
      <c r="G615" s="6"/>
      <c r="H615" s="6"/>
      <c r="I615" s="6"/>
      <c r="J615" s="6"/>
      <c r="K615" s="6"/>
      <c r="L615" s="6"/>
      <c r="M615" s="6"/>
      <c r="N615" s="6"/>
      <c r="O615" s="6"/>
      <c r="P615" s="6"/>
      <c r="Q615" s="6"/>
      <c r="R615" s="6"/>
      <c r="S615" s="6"/>
      <c r="T615" s="6"/>
      <c r="U615" s="6"/>
      <c r="V615" s="6"/>
      <c r="W615" s="6"/>
      <c r="X615" s="6"/>
      <c r="Y615" s="6"/>
      <c r="Z615" s="6"/>
    </row>
    <row r="616" ht="18.0" customHeight="1">
      <c r="A616" s="293" t="s">
        <v>2634</v>
      </c>
      <c r="B616" s="294" t="s">
        <v>2635</v>
      </c>
      <c r="C616" s="295"/>
      <c r="D616" s="20"/>
      <c r="E616" s="20"/>
      <c r="F616" s="6"/>
      <c r="G616" s="6"/>
      <c r="H616" s="6"/>
      <c r="I616" s="6"/>
      <c r="J616" s="6"/>
      <c r="K616" s="6"/>
      <c r="L616" s="6"/>
      <c r="M616" s="6"/>
      <c r="N616" s="6"/>
      <c r="O616" s="6"/>
      <c r="P616" s="6"/>
      <c r="Q616" s="6"/>
      <c r="R616" s="6"/>
      <c r="S616" s="6"/>
      <c r="T616" s="6"/>
      <c r="U616" s="6"/>
      <c r="V616" s="6"/>
      <c r="W616" s="6"/>
      <c r="X616" s="6"/>
      <c r="Y616" s="6"/>
      <c r="Z616" s="6"/>
    </row>
    <row r="617" ht="18.0" customHeight="1">
      <c r="A617" s="293" t="s">
        <v>2636</v>
      </c>
      <c r="B617" s="294" t="s">
        <v>2637</v>
      </c>
      <c r="C617" s="295"/>
      <c r="D617" s="20"/>
      <c r="E617" s="20"/>
      <c r="F617" s="6"/>
      <c r="G617" s="6"/>
      <c r="H617" s="6"/>
      <c r="I617" s="6"/>
      <c r="J617" s="6"/>
      <c r="K617" s="6"/>
      <c r="L617" s="6"/>
      <c r="M617" s="6"/>
      <c r="N617" s="6"/>
      <c r="O617" s="6"/>
      <c r="P617" s="6"/>
      <c r="Q617" s="6"/>
      <c r="R617" s="6"/>
      <c r="S617" s="6"/>
      <c r="T617" s="6"/>
      <c r="U617" s="6"/>
      <c r="V617" s="6"/>
      <c r="W617" s="6"/>
      <c r="X617" s="6"/>
      <c r="Y617" s="6"/>
      <c r="Z617" s="6"/>
    </row>
    <row r="618" ht="18.0" customHeight="1">
      <c r="A618" s="293" t="s">
        <v>2638</v>
      </c>
      <c r="B618" s="294" t="s">
        <v>2639</v>
      </c>
      <c r="C618" s="295"/>
      <c r="D618" s="20"/>
      <c r="E618" s="20"/>
      <c r="F618" s="6"/>
      <c r="G618" s="6"/>
      <c r="H618" s="6"/>
      <c r="I618" s="6"/>
      <c r="J618" s="6"/>
      <c r="K618" s="6"/>
      <c r="L618" s="6"/>
      <c r="M618" s="6"/>
      <c r="N618" s="6"/>
      <c r="O618" s="6"/>
      <c r="P618" s="6"/>
      <c r="Q618" s="6"/>
      <c r="R618" s="6"/>
      <c r="S618" s="6"/>
      <c r="T618" s="6"/>
      <c r="U618" s="6"/>
      <c r="V618" s="6"/>
      <c r="W618" s="6"/>
      <c r="X618" s="6"/>
      <c r="Y618" s="6"/>
      <c r="Z618" s="6"/>
    </row>
    <row r="619" ht="18.0" customHeight="1">
      <c r="A619" s="293" t="s">
        <v>2640</v>
      </c>
      <c r="B619" s="294" t="s">
        <v>2641</v>
      </c>
      <c r="C619" s="295"/>
      <c r="D619" s="20"/>
      <c r="E619" s="20"/>
      <c r="F619" s="6"/>
      <c r="G619" s="6"/>
      <c r="H619" s="6"/>
      <c r="I619" s="6"/>
      <c r="J619" s="6"/>
      <c r="K619" s="6"/>
      <c r="L619" s="6"/>
      <c r="M619" s="6"/>
      <c r="N619" s="6"/>
      <c r="O619" s="6"/>
      <c r="P619" s="6"/>
      <c r="Q619" s="6"/>
      <c r="R619" s="6"/>
      <c r="S619" s="6"/>
      <c r="T619" s="6"/>
      <c r="U619" s="6"/>
      <c r="V619" s="6"/>
      <c r="W619" s="6"/>
      <c r="X619" s="6"/>
      <c r="Y619" s="6"/>
      <c r="Z619" s="6"/>
    </row>
    <row r="620" ht="18.0" customHeight="1">
      <c r="A620" s="293" t="s">
        <v>2642</v>
      </c>
      <c r="B620" s="294" t="s">
        <v>2643</v>
      </c>
      <c r="C620" s="295"/>
      <c r="D620" s="20"/>
      <c r="E620" s="20"/>
      <c r="F620" s="6"/>
      <c r="G620" s="6"/>
      <c r="H620" s="6"/>
      <c r="I620" s="6"/>
      <c r="J620" s="6"/>
      <c r="K620" s="6"/>
      <c r="L620" s="6"/>
      <c r="M620" s="6"/>
      <c r="N620" s="6"/>
      <c r="O620" s="6"/>
      <c r="P620" s="6"/>
      <c r="Q620" s="6"/>
      <c r="R620" s="6"/>
      <c r="S620" s="6"/>
      <c r="T620" s="6"/>
      <c r="U620" s="6"/>
      <c r="V620" s="6"/>
      <c r="W620" s="6"/>
      <c r="X620" s="6"/>
      <c r="Y620" s="6"/>
      <c r="Z620" s="6"/>
    </row>
    <row r="621" ht="18.0" customHeight="1">
      <c r="A621" s="293" t="s">
        <v>2644</v>
      </c>
      <c r="B621" s="294" t="s">
        <v>2645</v>
      </c>
      <c r="C621" s="295"/>
      <c r="D621" s="20"/>
      <c r="E621" s="20"/>
      <c r="F621" s="6"/>
      <c r="G621" s="6"/>
      <c r="H621" s="6"/>
      <c r="I621" s="6"/>
      <c r="J621" s="6"/>
      <c r="K621" s="6"/>
      <c r="L621" s="6"/>
      <c r="M621" s="6"/>
      <c r="N621" s="6"/>
      <c r="O621" s="6"/>
      <c r="P621" s="6"/>
      <c r="Q621" s="6"/>
      <c r="R621" s="6"/>
      <c r="S621" s="6"/>
      <c r="T621" s="6"/>
      <c r="U621" s="6"/>
      <c r="V621" s="6"/>
      <c r="W621" s="6"/>
      <c r="X621" s="6"/>
      <c r="Y621" s="6"/>
      <c r="Z621" s="6"/>
    </row>
    <row r="622" ht="18.0" customHeight="1">
      <c r="A622" s="293" t="s">
        <v>2646</v>
      </c>
      <c r="B622" s="294" t="s">
        <v>2647</v>
      </c>
      <c r="C622" s="295"/>
      <c r="D622" s="20"/>
      <c r="E622" s="20"/>
      <c r="F622" s="6"/>
      <c r="G622" s="6"/>
      <c r="H622" s="6"/>
      <c r="I622" s="6"/>
      <c r="J622" s="6"/>
      <c r="K622" s="6"/>
      <c r="L622" s="6"/>
      <c r="M622" s="6"/>
      <c r="N622" s="6"/>
      <c r="O622" s="6"/>
      <c r="P622" s="6"/>
      <c r="Q622" s="6"/>
      <c r="R622" s="6"/>
      <c r="S622" s="6"/>
      <c r="T622" s="6"/>
      <c r="U622" s="6"/>
      <c r="V622" s="6"/>
      <c r="W622" s="6"/>
      <c r="X622" s="6"/>
      <c r="Y622" s="6"/>
      <c r="Z622" s="6"/>
    </row>
    <row r="623" ht="18.0" customHeight="1">
      <c r="A623" s="293" t="s">
        <v>2648</v>
      </c>
      <c r="B623" s="294" t="s">
        <v>2649</v>
      </c>
      <c r="C623" s="295"/>
      <c r="D623" s="20"/>
      <c r="E623" s="20"/>
      <c r="F623" s="6"/>
      <c r="G623" s="6"/>
      <c r="H623" s="6"/>
      <c r="I623" s="6"/>
      <c r="J623" s="6"/>
      <c r="K623" s="6"/>
      <c r="L623" s="6"/>
      <c r="M623" s="6"/>
      <c r="N623" s="6"/>
      <c r="O623" s="6"/>
      <c r="P623" s="6"/>
      <c r="Q623" s="6"/>
      <c r="R623" s="6"/>
      <c r="S623" s="6"/>
      <c r="T623" s="6"/>
      <c r="U623" s="6"/>
      <c r="V623" s="6"/>
      <c r="W623" s="6"/>
      <c r="X623" s="6"/>
      <c r="Y623" s="6"/>
      <c r="Z623" s="6"/>
    </row>
    <row r="624" ht="18.0" customHeight="1">
      <c r="A624" s="293" t="s">
        <v>2650</v>
      </c>
      <c r="B624" s="294" t="s">
        <v>2651</v>
      </c>
      <c r="C624" s="295"/>
      <c r="D624" s="20"/>
      <c r="E624" s="20"/>
      <c r="F624" s="6"/>
      <c r="G624" s="6"/>
      <c r="H624" s="6"/>
      <c r="I624" s="6"/>
      <c r="J624" s="6"/>
      <c r="K624" s="6"/>
      <c r="L624" s="6"/>
      <c r="M624" s="6"/>
      <c r="N624" s="6"/>
      <c r="O624" s="6"/>
      <c r="P624" s="6"/>
      <c r="Q624" s="6"/>
      <c r="R624" s="6"/>
      <c r="S624" s="6"/>
      <c r="T624" s="6"/>
      <c r="U624" s="6"/>
      <c r="V624" s="6"/>
      <c r="W624" s="6"/>
      <c r="X624" s="6"/>
      <c r="Y624" s="6"/>
      <c r="Z624" s="6"/>
    </row>
    <row r="625" ht="18.0" customHeight="1">
      <c r="A625" s="293" t="s">
        <v>2652</v>
      </c>
      <c r="B625" s="294" t="s">
        <v>2653</v>
      </c>
      <c r="C625" s="295"/>
      <c r="D625" s="20"/>
      <c r="E625" s="20"/>
      <c r="F625" s="6"/>
      <c r="G625" s="6"/>
      <c r="H625" s="6"/>
      <c r="I625" s="6"/>
      <c r="J625" s="6"/>
      <c r="K625" s="6"/>
      <c r="L625" s="6"/>
      <c r="M625" s="6"/>
      <c r="N625" s="6"/>
      <c r="O625" s="6"/>
      <c r="P625" s="6"/>
      <c r="Q625" s="6"/>
      <c r="R625" s="6"/>
      <c r="S625" s="6"/>
      <c r="T625" s="6"/>
      <c r="U625" s="6"/>
      <c r="V625" s="6"/>
      <c r="W625" s="6"/>
      <c r="X625" s="6"/>
      <c r="Y625" s="6"/>
      <c r="Z625" s="6"/>
    </row>
    <row r="626" ht="18.0" customHeight="1">
      <c r="A626" s="293" t="s">
        <v>2654</v>
      </c>
      <c r="B626" s="294" t="s">
        <v>2655</v>
      </c>
      <c r="C626" s="295"/>
      <c r="D626" s="20"/>
      <c r="E626" s="20"/>
      <c r="F626" s="6"/>
      <c r="G626" s="6"/>
      <c r="H626" s="6"/>
      <c r="I626" s="6"/>
      <c r="J626" s="6"/>
      <c r="K626" s="6"/>
      <c r="L626" s="6"/>
      <c r="M626" s="6"/>
      <c r="N626" s="6"/>
      <c r="O626" s="6"/>
      <c r="P626" s="6"/>
      <c r="Q626" s="6"/>
      <c r="R626" s="6"/>
      <c r="S626" s="6"/>
      <c r="T626" s="6"/>
      <c r="U626" s="6"/>
      <c r="V626" s="6"/>
      <c r="W626" s="6"/>
      <c r="X626" s="6"/>
      <c r="Y626" s="6"/>
      <c r="Z626" s="6"/>
    </row>
    <row r="627" ht="18.0" customHeight="1">
      <c r="A627" s="293" t="s">
        <v>2656</v>
      </c>
      <c r="B627" s="294" t="s">
        <v>2657</v>
      </c>
      <c r="C627" s="295"/>
      <c r="D627" s="20"/>
      <c r="E627" s="20"/>
      <c r="F627" s="6"/>
      <c r="G627" s="6"/>
      <c r="H627" s="6"/>
      <c r="I627" s="6"/>
      <c r="J627" s="6"/>
      <c r="K627" s="6"/>
      <c r="L627" s="6"/>
      <c r="M627" s="6"/>
      <c r="N627" s="6"/>
      <c r="O627" s="6"/>
      <c r="P627" s="6"/>
      <c r="Q627" s="6"/>
      <c r="R627" s="6"/>
      <c r="S627" s="6"/>
      <c r="T627" s="6"/>
      <c r="U627" s="6"/>
      <c r="V627" s="6"/>
      <c r="W627" s="6"/>
      <c r="X627" s="6"/>
      <c r="Y627" s="6"/>
      <c r="Z627" s="6"/>
    </row>
    <row r="628" ht="18.0" customHeight="1">
      <c r="A628" s="293" t="s">
        <v>2658</v>
      </c>
      <c r="B628" s="294" t="s">
        <v>2659</v>
      </c>
      <c r="C628" s="295"/>
      <c r="D628" s="20"/>
      <c r="E628" s="20"/>
      <c r="F628" s="6"/>
      <c r="G628" s="6"/>
      <c r="H628" s="6"/>
      <c r="I628" s="6"/>
      <c r="J628" s="6"/>
      <c r="K628" s="6"/>
      <c r="L628" s="6"/>
      <c r="M628" s="6"/>
      <c r="N628" s="6"/>
      <c r="O628" s="6"/>
      <c r="P628" s="6"/>
      <c r="Q628" s="6"/>
      <c r="R628" s="6"/>
      <c r="S628" s="6"/>
      <c r="T628" s="6"/>
      <c r="U628" s="6"/>
      <c r="V628" s="6"/>
      <c r="W628" s="6"/>
      <c r="X628" s="6"/>
      <c r="Y628" s="6"/>
      <c r="Z628" s="6"/>
    </row>
    <row r="629" ht="18.0" customHeight="1">
      <c r="A629" s="293" t="s">
        <v>2660</v>
      </c>
      <c r="B629" s="294" t="s">
        <v>2661</v>
      </c>
      <c r="C629" s="295"/>
      <c r="D629" s="20"/>
      <c r="E629" s="20"/>
      <c r="F629" s="6"/>
      <c r="G629" s="6"/>
      <c r="H629" s="6"/>
      <c r="I629" s="6"/>
      <c r="J629" s="6"/>
      <c r="K629" s="6"/>
      <c r="L629" s="6"/>
      <c r="M629" s="6"/>
      <c r="N629" s="6"/>
      <c r="O629" s="6"/>
      <c r="P629" s="6"/>
      <c r="Q629" s="6"/>
      <c r="R629" s="6"/>
      <c r="S629" s="6"/>
      <c r="T629" s="6"/>
      <c r="U629" s="6"/>
      <c r="V629" s="6"/>
      <c r="W629" s="6"/>
      <c r="X629" s="6"/>
      <c r="Y629" s="6"/>
      <c r="Z629" s="6"/>
    </row>
    <row r="630" ht="18.0" customHeight="1">
      <c r="A630" s="293" t="s">
        <v>2662</v>
      </c>
      <c r="B630" s="294" t="s">
        <v>2663</v>
      </c>
      <c r="C630" s="295"/>
      <c r="D630" s="20"/>
      <c r="E630" s="20"/>
      <c r="F630" s="6"/>
      <c r="G630" s="6"/>
      <c r="H630" s="6"/>
      <c r="I630" s="6"/>
      <c r="J630" s="6"/>
      <c r="K630" s="6"/>
      <c r="L630" s="6"/>
      <c r="M630" s="6"/>
      <c r="N630" s="6"/>
      <c r="O630" s="6"/>
      <c r="P630" s="6"/>
      <c r="Q630" s="6"/>
      <c r="R630" s="6"/>
      <c r="S630" s="6"/>
      <c r="T630" s="6"/>
      <c r="U630" s="6"/>
      <c r="V630" s="6"/>
      <c r="W630" s="6"/>
      <c r="X630" s="6"/>
      <c r="Y630" s="6"/>
      <c r="Z630" s="6"/>
    </row>
    <row r="631" ht="25.5" customHeight="1">
      <c r="A631" s="303" t="s">
        <v>2664</v>
      </c>
      <c r="B631" s="304" t="s">
        <v>2665</v>
      </c>
      <c r="C631" s="298"/>
      <c r="D631" s="20"/>
      <c r="E631" s="20"/>
      <c r="F631" s="6"/>
      <c r="G631" s="6"/>
      <c r="H631" s="6"/>
      <c r="I631" s="6"/>
      <c r="J631" s="6"/>
      <c r="K631" s="6"/>
      <c r="L631" s="6"/>
      <c r="M631" s="6"/>
      <c r="N631" s="6"/>
      <c r="O631" s="6"/>
      <c r="P631" s="6"/>
      <c r="Q631" s="6"/>
      <c r="R631" s="6"/>
      <c r="S631" s="6"/>
      <c r="T631" s="6"/>
      <c r="U631" s="6"/>
      <c r="V631" s="6"/>
      <c r="W631" s="6"/>
      <c r="X631" s="6"/>
      <c r="Y631" s="6"/>
      <c r="Z631" s="6"/>
    </row>
    <row r="632" ht="25.5" customHeight="1">
      <c r="A632" s="305" t="s">
        <v>2666</v>
      </c>
      <c r="B632" s="306" t="s">
        <v>2667</v>
      </c>
      <c r="C632" s="298"/>
      <c r="D632" s="20"/>
      <c r="E632" s="20"/>
      <c r="F632" s="6"/>
      <c r="G632" s="6"/>
      <c r="H632" s="6"/>
      <c r="I632" s="6"/>
      <c r="J632" s="6"/>
      <c r="K632" s="6"/>
      <c r="L632" s="6"/>
      <c r="M632" s="6"/>
      <c r="N632" s="6"/>
      <c r="O632" s="6"/>
      <c r="P632" s="6"/>
      <c r="Q632" s="6"/>
      <c r="R632" s="6"/>
      <c r="S632" s="6"/>
      <c r="T632" s="6"/>
      <c r="U632" s="6"/>
      <c r="V632" s="6"/>
      <c r="W632" s="6"/>
      <c r="X632" s="6"/>
      <c r="Y632" s="6"/>
      <c r="Z632" s="6"/>
    </row>
    <row r="633" ht="25.5" customHeight="1">
      <c r="A633" s="305" t="s">
        <v>2668</v>
      </c>
      <c r="B633" s="306" t="s">
        <v>2669</v>
      </c>
      <c r="C633" s="298"/>
      <c r="D633" s="20"/>
      <c r="E633" s="20"/>
      <c r="F633" s="6"/>
      <c r="G633" s="6"/>
      <c r="H633" s="6"/>
      <c r="I633" s="6"/>
      <c r="J633" s="6"/>
      <c r="K633" s="6"/>
      <c r="L633" s="6"/>
      <c r="M633" s="6"/>
      <c r="N633" s="6"/>
      <c r="O633" s="6"/>
      <c r="P633" s="6"/>
      <c r="Q633" s="6"/>
      <c r="R633" s="6"/>
      <c r="S633" s="6"/>
      <c r="T633" s="6"/>
      <c r="U633" s="6"/>
      <c r="V633" s="6"/>
      <c r="W633" s="6"/>
      <c r="X633" s="6"/>
      <c r="Y633" s="6"/>
      <c r="Z633" s="6"/>
    </row>
    <row r="634" ht="25.5" customHeight="1">
      <c r="A634" s="305" t="s">
        <v>2670</v>
      </c>
      <c r="B634" s="306" t="s">
        <v>2671</v>
      </c>
      <c r="C634" s="298"/>
      <c r="D634" s="20"/>
      <c r="E634" s="20"/>
      <c r="F634" s="6"/>
      <c r="G634" s="6"/>
      <c r="H634" s="6"/>
      <c r="I634" s="6"/>
      <c r="J634" s="6"/>
      <c r="K634" s="6"/>
      <c r="L634" s="6"/>
      <c r="M634" s="6"/>
      <c r="N634" s="6"/>
      <c r="O634" s="6"/>
      <c r="P634" s="6"/>
      <c r="Q634" s="6"/>
      <c r="R634" s="6"/>
      <c r="S634" s="6"/>
      <c r="T634" s="6"/>
      <c r="U634" s="6"/>
      <c r="V634" s="6"/>
      <c r="W634" s="6"/>
      <c r="X634" s="6"/>
      <c r="Y634" s="6"/>
      <c r="Z634" s="6"/>
    </row>
    <row r="635" ht="51.0" customHeight="1">
      <c r="A635" s="307" t="s">
        <v>827</v>
      </c>
      <c r="B635" s="308" t="s">
        <v>2672</v>
      </c>
      <c r="C635" s="20"/>
      <c r="D635" s="20"/>
      <c r="E635" s="20"/>
      <c r="F635" s="6"/>
      <c r="G635" s="6"/>
      <c r="H635" s="6"/>
      <c r="I635" s="6"/>
      <c r="J635" s="6"/>
      <c r="K635" s="6"/>
      <c r="L635" s="6"/>
      <c r="M635" s="6"/>
      <c r="N635" s="6"/>
      <c r="O635" s="6"/>
      <c r="P635" s="6"/>
      <c r="Q635" s="6"/>
      <c r="R635" s="6"/>
      <c r="S635" s="6"/>
      <c r="T635" s="6"/>
      <c r="U635" s="6"/>
      <c r="V635" s="6"/>
      <c r="W635" s="6"/>
      <c r="X635" s="6"/>
      <c r="Y635" s="6"/>
      <c r="Z635" s="6"/>
    </row>
    <row r="636" ht="51.0" customHeight="1">
      <c r="A636" s="309" t="s">
        <v>833</v>
      </c>
      <c r="B636" s="310" t="s">
        <v>2673</v>
      </c>
      <c r="C636" s="20"/>
      <c r="D636" s="20"/>
      <c r="E636" s="20"/>
      <c r="F636" s="6"/>
      <c r="G636" s="6"/>
      <c r="H636" s="6"/>
      <c r="I636" s="6"/>
      <c r="J636" s="6"/>
      <c r="K636" s="6"/>
      <c r="L636" s="6"/>
      <c r="M636" s="6"/>
      <c r="N636" s="6"/>
      <c r="O636" s="6"/>
      <c r="P636" s="6"/>
      <c r="Q636" s="6"/>
      <c r="R636" s="6"/>
      <c r="S636" s="6"/>
      <c r="T636" s="6"/>
      <c r="U636" s="6"/>
      <c r="V636" s="6"/>
      <c r="W636" s="6"/>
      <c r="X636" s="6"/>
      <c r="Y636" s="6"/>
      <c r="Z636" s="6"/>
    </row>
    <row r="637" ht="25.5" customHeight="1">
      <c r="A637" s="311" t="s">
        <v>2674</v>
      </c>
      <c r="B637" s="312" t="s">
        <v>2675</v>
      </c>
      <c r="C637" s="20"/>
      <c r="D637" s="20"/>
      <c r="E637" s="20"/>
      <c r="F637" s="6"/>
      <c r="G637" s="6"/>
      <c r="H637" s="6"/>
      <c r="I637" s="6"/>
      <c r="J637" s="6"/>
      <c r="K637" s="6"/>
      <c r="L637" s="6"/>
      <c r="M637" s="6"/>
      <c r="N637" s="6"/>
      <c r="O637" s="6"/>
      <c r="P637" s="6"/>
      <c r="Q637" s="6"/>
      <c r="R637" s="6"/>
      <c r="S637" s="6"/>
      <c r="T637" s="6"/>
      <c r="U637" s="6"/>
      <c r="V637" s="6"/>
      <c r="W637" s="6"/>
      <c r="X637" s="6"/>
      <c r="Y637" s="6"/>
      <c r="Z637" s="6"/>
    </row>
    <row r="638" ht="38.25" customHeight="1">
      <c r="A638" s="309" t="s">
        <v>863</v>
      </c>
      <c r="B638" s="310" t="s">
        <v>2676</v>
      </c>
      <c r="C638" s="20"/>
      <c r="D638" s="20"/>
      <c r="E638" s="20"/>
      <c r="F638" s="6"/>
      <c r="G638" s="6"/>
      <c r="H638" s="6"/>
      <c r="I638" s="6"/>
      <c r="J638" s="6"/>
      <c r="K638" s="6"/>
      <c r="L638" s="6"/>
      <c r="M638" s="6"/>
      <c r="N638" s="6"/>
      <c r="O638" s="6"/>
      <c r="P638" s="6"/>
      <c r="Q638" s="6"/>
      <c r="R638" s="6"/>
      <c r="S638" s="6"/>
      <c r="T638" s="6"/>
      <c r="U638" s="6"/>
      <c r="V638" s="6"/>
      <c r="W638" s="6"/>
      <c r="X638" s="6"/>
      <c r="Y638" s="6"/>
      <c r="Z638" s="6"/>
    </row>
    <row r="639" ht="18.0" customHeight="1">
      <c r="A639" s="309" t="s">
        <v>870</v>
      </c>
      <c r="B639" s="310" t="s">
        <v>2677</v>
      </c>
      <c r="C639" s="20"/>
      <c r="D639" s="20"/>
      <c r="E639" s="20"/>
      <c r="F639" s="6"/>
      <c r="G639" s="6"/>
      <c r="H639" s="6"/>
      <c r="I639" s="6"/>
      <c r="J639" s="6"/>
      <c r="K639" s="6"/>
      <c r="L639" s="6"/>
      <c r="M639" s="6"/>
      <c r="N639" s="6"/>
      <c r="O639" s="6"/>
      <c r="P639" s="6"/>
      <c r="Q639" s="6"/>
      <c r="R639" s="6"/>
      <c r="S639" s="6"/>
      <c r="T639" s="6"/>
      <c r="U639" s="6"/>
      <c r="V639" s="6"/>
      <c r="W639" s="6"/>
      <c r="X639" s="6"/>
      <c r="Y639" s="6"/>
      <c r="Z639" s="6"/>
    </row>
    <row r="640" ht="18.0" customHeight="1">
      <c r="A640" s="309" t="s">
        <v>894</v>
      </c>
      <c r="B640" s="310" t="s">
        <v>2678</v>
      </c>
      <c r="C640" s="20"/>
      <c r="D640" s="20"/>
      <c r="E640" s="20"/>
      <c r="F640" s="6"/>
      <c r="G640" s="6"/>
      <c r="H640" s="6"/>
      <c r="I640" s="6"/>
      <c r="J640" s="6"/>
      <c r="K640" s="6"/>
      <c r="L640" s="6"/>
      <c r="M640" s="6"/>
      <c r="N640" s="6"/>
      <c r="O640" s="6"/>
      <c r="P640" s="6"/>
      <c r="Q640" s="6"/>
      <c r="R640" s="6"/>
      <c r="S640" s="6"/>
      <c r="T640" s="6"/>
      <c r="U640" s="6"/>
      <c r="V640" s="6"/>
      <c r="W640" s="6"/>
      <c r="X640" s="6"/>
      <c r="Y640" s="6"/>
      <c r="Z640" s="6"/>
    </row>
    <row r="641" ht="63.75" customHeight="1">
      <c r="A641" s="309" t="s">
        <v>908</v>
      </c>
      <c r="B641" s="310" t="s">
        <v>2679</v>
      </c>
      <c r="C641" s="20"/>
      <c r="D641" s="20"/>
      <c r="E641" s="20"/>
      <c r="F641" s="6"/>
      <c r="G641" s="6"/>
      <c r="H641" s="6"/>
      <c r="I641" s="6"/>
      <c r="J641" s="6"/>
      <c r="K641" s="6"/>
      <c r="L641" s="6"/>
      <c r="M641" s="6"/>
      <c r="N641" s="6"/>
      <c r="O641" s="6"/>
      <c r="P641" s="6"/>
      <c r="Q641" s="6"/>
      <c r="R641" s="6"/>
      <c r="S641" s="6"/>
      <c r="T641" s="6"/>
      <c r="U641" s="6"/>
      <c r="V641" s="6"/>
      <c r="W641" s="6"/>
      <c r="X641" s="6"/>
      <c r="Y641" s="6"/>
      <c r="Z641" s="6"/>
    </row>
    <row r="642" ht="63.75" customHeight="1">
      <c r="A642" s="309" t="s">
        <v>914</v>
      </c>
      <c r="B642" s="310" t="s">
        <v>2680</v>
      </c>
      <c r="C642" s="20"/>
      <c r="D642" s="20"/>
      <c r="E642" s="20"/>
      <c r="F642" s="6"/>
      <c r="G642" s="6"/>
      <c r="H642" s="6"/>
      <c r="I642" s="6"/>
      <c r="J642" s="6"/>
      <c r="K642" s="6"/>
      <c r="L642" s="6"/>
      <c r="M642" s="6"/>
      <c r="N642" s="6"/>
      <c r="O642" s="6"/>
      <c r="P642" s="6"/>
      <c r="Q642" s="6"/>
      <c r="R642" s="6"/>
      <c r="S642" s="6"/>
      <c r="T642" s="6"/>
      <c r="U642" s="6"/>
      <c r="V642" s="6"/>
      <c r="W642" s="6"/>
      <c r="X642" s="6"/>
      <c r="Y642" s="6"/>
      <c r="Z642" s="6"/>
    </row>
    <row r="643" ht="38.25" customHeight="1">
      <c r="A643" s="313" t="s">
        <v>915</v>
      </c>
      <c r="B643" s="312" t="s">
        <v>2681</v>
      </c>
      <c r="C643" s="20"/>
      <c r="D643" s="20"/>
      <c r="E643" s="20"/>
      <c r="F643" s="6"/>
      <c r="G643" s="6"/>
      <c r="H643" s="6"/>
      <c r="I643" s="6"/>
      <c r="J643" s="6"/>
      <c r="K643" s="6"/>
      <c r="L643" s="6"/>
      <c r="M643" s="6"/>
      <c r="N643" s="6"/>
      <c r="O643" s="6"/>
      <c r="P643" s="6"/>
      <c r="Q643" s="6"/>
      <c r="R643" s="6"/>
      <c r="S643" s="6"/>
      <c r="T643" s="6"/>
      <c r="U643" s="6"/>
      <c r="V643" s="6"/>
      <c r="W643" s="6"/>
      <c r="X643" s="6"/>
      <c r="Y643" s="6"/>
      <c r="Z643" s="6"/>
    </row>
    <row r="644" ht="25.5" customHeight="1">
      <c r="A644" s="314" t="s">
        <v>926</v>
      </c>
      <c r="B644" s="312" t="s">
        <v>2682</v>
      </c>
      <c r="C644" s="20"/>
      <c r="D644" s="20"/>
      <c r="E644" s="20"/>
      <c r="F644" s="6"/>
      <c r="G644" s="6"/>
      <c r="H644" s="6"/>
      <c r="I644" s="6"/>
      <c r="J644" s="6"/>
      <c r="K644" s="6"/>
      <c r="L644" s="6"/>
      <c r="M644" s="6"/>
      <c r="N644" s="6"/>
      <c r="O644" s="6"/>
      <c r="P644" s="6"/>
      <c r="Q644" s="6"/>
      <c r="R644" s="6"/>
      <c r="S644" s="6"/>
      <c r="T644" s="6"/>
      <c r="U644" s="6"/>
      <c r="V644" s="6"/>
      <c r="W644" s="6"/>
      <c r="X644" s="6"/>
      <c r="Y644" s="6"/>
      <c r="Z644" s="6"/>
    </row>
    <row r="645" ht="25.5" customHeight="1">
      <c r="A645" s="314" t="s">
        <v>943</v>
      </c>
      <c r="B645" s="312" t="s">
        <v>2683</v>
      </c>
      <c r="C645" s="20"/>
      <c r="D645" s="20"/>
      <c r="E645" s="20"/>
      <c r="F645" s="6"/>
      <c r="G645" s="6"/>
      <c r="H645" s="6"/>
      <c r="I645" s="6"/>
      <c r="J645" s="6"/>
      <c r="K645" s="6"/>
      <c r="L645" s="6"/>
      <c r="M645" s="6"/>
      <c r="N645" s="6"/>
      <c r="O645" s="6"/>
      <c r="P645" s="6"/>
      <c r="Q645" s="6"/>
      <c r="R645" s="6"/>
      <c r="S645" s="6"/>
      <c r="T645" s="6"/>
      <c r="U645" s="6"/>
      <c r="V645" s="6"/>
      <c r="W645" s="6"/>
      <c r="X645" s="6"/>
      <c r="Y645" s="6"/>
      <c r="Z645" s="6"/>
    </row>
    <row r="646" ht="25.5" customHeight="1">
      <c r="A646" s="314" t="s">
        <v>953</v>
      </c>
      <c r="B646" s="312" t="s">
        <v>2684</v>
      </c>
      <c r="C646" s="20"/>
      <c r="D646" s="20"/>
      <c r="E646" s="20"/>
      <c r="F646" s="6"/>
      <c r="G646" s="6"/>
      <c r="H646" s="6"/>
      <c r="I646" s="6"/>
      <c r="J646" s="6"/>
      <c r="K646" s="6"/>
      <c r="L646" s="6"/>
      <c r="M646" s="6"/>
      <c r="N646" s="6"/>
      <c r="O646" s="6"/>
      <c r="P646" s="6"/>
      <c r="Q646" s="6"/>
      <c r="R646" s="6"/>
      <c r="S646" s="6"/>
      <c r="T646" s="6"/>
      <c r="U646" s="6"/>
      <c r="V646" s="6"/>
      <c r="W646" s="6"/>
      <c r="X646" s="6"/>
      <c r="Y646" s="6"/>
      <c r="Z646" s="6"/>
    </row>
    <row r="647" ht="18.0" customHeight="1">
      <c r="A647" s="314" t="s">
        <v>974</v>
      </c>
      <c r="B647" s="312" t="s">
        <v>2685</v>
      </c>
      <c r="C647" s="20"/>
      <c r="D647" s="20"/>
      <c r="E647" s="20"/>
      <c r="F647" s="6"/>
      <c r="G647" s="6"/>
      <c r="H647" s="6"/>
      <c r="I647" s="6"/>
      <c r="J647" s="6"/>
      <c r="K647" s="6"/>
      <c r="L647" s="6"/>
      <c r="M647" s="6"/>
      <c r="N647" s="6"/>
      <c r="O647" s="6"/>
      <c r="P647" s="6"/>
      <c r="Q647" s="6"/>
      <c r="R647" s="6"/>
      <c r="S647" s="6"/>
      <c r="T647" s="6"/>
      <c r="U647" s="6"/>
      <c r="V647" s="6"/>
      <c r="W647" s="6"/>
      <c r="X647" s="6"/>
      <c r="Y647" s="6"/>
      <c r="Z647" s="6"/>
    </row>
    <row r="648" ht="114.75" customHeight="1">
      <c r="A648" s="314" t="s">
        <v>978</v>
      </c>
      <c r="B648" s="312" t="s">
        <v>2686</v>
      </c>
      <c r="C648" s="20"/>
      <c r="D648" s="20"/>
      <c r="E648" s="20"/>
      <c r="F648" s="6"/>
      <c r="G648" s="6"/>
      <c r="H648" s="6"/>
      <c r="I648" s="6"/>
      <c r="J648" s="6"/>
      <c r="K648" s="6"/>
      <c r="L648" s="6"/>
      <c r="M648" s="6"/>
      <c r="N648" s="6"/>
      <c r="O648" s="6"/>
      <c r="P648" s="6"/>
      <c r="Q648" s="6"/>
      <c r="R648" s="6"/>
      <c r="S648" s="6"/>
      <c r="T648" s="6"/>
      <c r="U648" s="6"/>
      <c r="V648" s="6"/>
      <c r="W648" s="6"/>
      <c r="X648" s="6"/>
      <c r="Y648" s="6"/>
      <c r="Z648" s="6"/>
    </row>
    <row r="649" ht="25.5" customHeight="1">
      <c r="A649" s="314" t="s">
        <v>2687</v>
      </c>
      <c r="B649" s="312" t="s">
        <v>2688</v>
      </c>
      <c r="C649" s="20"/>
      <c r="D649" s="20"/>
      <c r="E649" s="20"/>
      <c r="F649" s="6"/>
      <c r="G649" s="6"/>
      <c r="H649" s="6"/>
      <c r="I649" s="6"/>
      <c r="J649" s="6"/>
      <c r="K649" s="6"/>
      <c r="L649" s="6"/>
      <c r="M649" s="6"/>
      <c r="N649" s="6"/>
      <c r="O649" s="6"/>
      <c r="P649" s="6"/>
      <c r="Q649" s="6"/>
      <c r="R649" s="6"/>
      <c r="S649" s="6"/>
      <c r="T649" s="6"/>
      <c r="U649" s="6"/>
      <c r="V649" s="6"/>
      <c r="W649" s="6"/>
      <c r="X649" s="6"/>
      <c r="Y649" s="6"/>
      <c r="Z649" s="6"/>
    </row>
    <row r="650" ht="25.5" customHeight="1">
      <c r="A650" s="314" t="s">
        <v>2689</v>
      </c>
      <c r="B650" s="312" t="s">
        <v>2690</v>
      </c>
      <c r="C650" s="20"/>
      <c r="D650" s="20"/>
      <c r="E650" s="20"/>
      <c r="F650" s="6"/>
      <c r="G650" s="6"/>
      <c r="H650" s="6"/>
      <c r="I650" s="6"/>
      <c r="J650" s="6"/>
      <c r="K650" s="6"/>
      <c r="L650" s="6"/>
      <c r="M650" s="6"/>
      <c r="N650" s="6"/>
      <c r="O650" s="6"/>
      <c r="P650" s="6"/>
      <c r="Q650" s="6"/>
      <c r="R650" s="6"/>
      <c r="S650" s="6"/>
      <c r="T650" s="6"/>
      <c r="U650" s="6"/>
      <c r="V650" s="6"/>
      <c r="W650" s="6"/>
      <c r="X650" s="6"/>
      <c r="Y650" s="6"/>
      <c r="Z650" s="6"/>
    </row>
    <row r="651" ht="38.25" customHeight="1">
      <c r="A651" s="314" t="s">
        <v>1034</v>
      </c>
      <c r="B651" s="312" t="s">
        <v>2691</v>
      </c>
      <c r="C651" s="20"/>
      <c r="D651" s="20"/>
      <c r="E651" s="20"/>
      <c r="F651" s="6"/>
      <c r="G651" s="6"/>
      <c r="H651" s="6"/>
      <c r="I651" s="6"/>
      <c r="J651" s="6"/>
      <c r="K651" s="6"/>
      <c r="L651" s="6"/>
      <c r="M651" s="6"/>
      <c r="N651" s="6"/>
      <c r="O651" s="6"/>
      <c r="P651" s="6"/>
      <c r="Q651" s="6"/>
      <c r="R651" s="6"/>
      <c r="S651" s="6"/>
      <c r="T651" s="6"/>
      <c r="U651" s="6"/>
      <c r="V651" s="6"/>
      <c r="W651" s="6"/>
      <c r="X651" s="6"/>
      <c r="Y651" s="6"/>
      <c r="Z651" s="6"/>
    </row>
    <row r="652" ht="25.5" customHeight="1">
      <c r="A652" s="314" t="s">
        <v>1037</v>
      </c>
      <c r="B652" s="312" t="s">
        <v>2692</v>
      </c>
      <c r="C652" s="20"/>
      <c r="D652" s="20"/>
      <c r="E652" s="20"/>
      <c r="F652" s="6"/>
      <c r="G652" s="6"/>
      <c r="H652" s="6"/>
      <c r="I652" s="6"/>
      <c r="J652" s="6"/>
      <c r="K652" s="6"/>
      <c r="L652" s="6"/>
      <c r="M652" s="6"/>
      <c r="N652" s="6"/>
      <c r="O652" s="6"/>
      <c r="P652" s="6"/>
      <c r="Q652" s="6"/>
      <c r="R652" s="6"/>
      <c r="S652" s="6"/>
      <c r="T652" s="6"/>
      <c r="U652" s="6"/>
      <c r="V652" s="6"/>
      <c r="W652" s="6"/>
      <c r="X652" s="6"/>
      <c r="Y652" s="6"/>
      <c r="Z652" s="6"/>
    </row>
    <row r="653" ht="38.25" customHeight="1">
      <c r="A653" s="314" t="s">
        <v>1049</v>
      </c>
      <c r="B653" s="312" t="s">
        <v>2693</v>
      </c>
      <c r="C653" s="20"/>
      <c r="D653" s="20"/>
      <c r="E653" s="20"/>
      <c r="F653" s="6"/>
      <c r="G653" s="6"/>
      <c r="H653" s="6"/>
      <c r="I653" s="6"/>
      <c r="J653" s="6"/>
      <c r="K653" s="6"/>
      <c r="L653" s="6"/>
      <c r="M653" s="6"/>
      <c r="N653" s="6"/>
      <c r="O653" s="6"/>
      <c r="P653" s="6"/>
      <c r="Q653" s="6"/>
      <c r="R653" s="6"/>
      <c r="S653" s="6"/>
      <c r="T653" s="6"/>
      <c r="U653" s="6"/>
      <c r="V653" s="6"/>
      <c r="W653" s="6"/>
      <c r="X653" s="6"/>
      <c r="Y653" s="6"/>
      <c r="Z653" s="6"/>
    </row>
    <row r="654" ht="51.0" customHeight="1">
      <c r="A654" s="314" t="s">
        <v>2694</v>
      </c>
      <c r="B654" s="312" t="s">
        <v>2695</v>
      </c>
      <c r="C654" s="20"/>
      <c r="D654" s="20"/>
      <c r="E654" s="20"/>
      <c r="F654" s="6"/>
      <c r="G654" s="6"/>
      <c r="H654" s="6"/>
      <c r="I654" s="6"/>
      <c r="J654" s="6"/>
      <c r="K654" s="6"/>
      <c r="L654" s="6"/>
      <c r="M654" s="6"/>
      <c r="N654" s="6"/>
      <c r="O654" s="6"/>
      <c r="P654" s="6"/>
      <c r="Q654" s="6"/>
      <c r="R654" s="6"/>
      <c r="S654" s="6"/>
      <c r="T654" s="6"/>
      <c r="U654" s="6"/>
      <c r="V654" s="6"/>
      <c r="W654" s="6"/>
      <c r="X654" s="6"/>
      <c r="Y654" s="6"/>
      <c r="Z654" s="6"/>
    </row>
    <row r="655" ht="38.25" customHeight="1">
      <c r="A655" s="314" t="s">
        <v>1070</v>
      </c>
      <c r="B655" s="312" t="s">
        <v>2696</v>
      </c>
      <c r="C655" s="20"/>
      <c r="D655" s="20"/>
      <c r="E655" s="20"/>
      <c r="F655" s="6"/>
      <c r="G655" s="6"/>
      <c r="H655" s="6"/>
      <c r="I655" s="6"/>
      <c r="J655" s="6"/>
      <c r="K655" s="6"/>
      <c r="L655" s="6"/>
      <c r="M655" s="6"/>
      <c r="N655" s="6"/>
      <c r="O655" s="6"/>
      <c r="P655" s="6"/>
      <c r="Q655" s="6"/>
      <c r="R655" s="6"/>
      <c r="S655" s="6"/>
      <c r="T655" s="6"/>
      <c r="U655" s="6"/>
      <c r="V655" s="6"/>
      <c r="W655" s="6"/>
      <c r="X655" s="6"/>
      <c r="Y655" s="6"/>
      <c r="Z655" s="6"/>
    </row>
    <row r="656" ht="18.0" customHeight="1">
      <c r="A656" s="314" t="s">
        <v>1053</v>
      </c>
      <c r="B656" s="312" t="s">
        <v>2697</v>
      </c>
      <c r="C656" s="20"/>
      <c r="D656" s="20"/>
      <c r="E656" s="20"/>
      <c r="F656" s="6"/>
      <c r="G656" s="6"/>
      <c r="H656" s="6"/>
      <c r="I656" s="6"/>
      <c r="J656" s="6"/>
      <c r="K656" s="6"/>
      <c r="L656" s="6"/>
      <c r="M656" s="6"/>
      <c r="N656" s="6"/>
      <c r="O656" s="6"/>
      <c r="P656" s="6"/>
      <c r="Q656" s="6"/>
      <c r="R656" s="6"/>
      <c r="S656" s="6"/>
      <c r="T656" s="6"/>
      <c r="U656" s="6"/>
      <c r="V656" s="6"/>
      <c r="W656" s="6"/>
      <c r="X656" s="6"/>
      <c r="Y656" s="6"/>
      <c r="Z656" s="6"/>
    </row>
    <row r="657" ht="38.25" customHeight="1">
      <c r="A657" s="314" t="s">
        <v>1103</v>
      </c>
      <c r="B657" s="312" t="s">
        <v>2698</v>
      </c>
      <c r="C657" s="20"/>
      <c r="D657" s="20"/>
      <c r="E657" s="20"/>
      <c r="F657" s="6"/>
      <c r="G657" s="6"/>
      <c r="H657" s="6"/>
      <c r="I657" s="6"/>
      <c r="J657" s="6"/>
      <c r="K657" s="6"/>
      <c r="L657" s="6"/>
      <c r="M657" s="6"/>
      <c r="N657" s="6"/>
      <c r="O657" s="6"/>
      <c r="P657" s="6"/>
      <c r="Q657" s="6"/>
      <c r="R657" s="6"/>
      <c r="S657" s="6"/>
      <c r="T657" s="6"/>
      <c r="U657" s="6"/>
      <c r="V657" s="6"/>
      <c r="W657" s="6"/>
      <c r="X657" s="6"/>
      <c r="Y657" s="6"/>
      <c r="Z657" s="6"/>
    </row>
    <row r="658" ht="25.5" customHeight="1">
      <c r="A658" s="314" t="s">
        <v>829</v>
      </c>
      <c r="B658" s="312" t="s">
        <v>2699</v>
      </c>
      <c r="C658" s="20"/>
      <c r="D658" s="20"/>
      <c r="E658" s="20"/>
      <c r="F658" s="6"/>
      <c r="G658" s="6"/>
      <c r="H658" s="6"/>
      <c r="I658" s="6"/>
      <c r="J658" s="6"/>
      <c r="K658" s="6"/>
      <c r="L658" s="6"/>
      <c r="M658" s="6"/>
      <c r="N658" s="6"/>
      <c r="O658" s="6"/>
      <c r="P658" s="6"/>
      <c r="Q658" s="6"/>
      <c r="R658" s="6"/>
      <c r="S658" s="6"/>
      <c r="T658" s="6"/>
      <c r="U658" s="6"/>
      <c r="V658" s="6"/>
      <c r="W658" s="6"/>
      <c r="X658" s="6"/>
      <c r="Y658" s="6"/>
      <c r="Z658" s="6"/>
    </row>
    <row r="659" ht="25.5" customHeight="1">
      <c r="A659" s="314" t="s">
        <v>937</v>
      </c>
      <c r="B659" s="312" t="s">
        <v>2700</v>
      </c>
      <c r="C659" s="20"/>
      <c r="D659" s="20"/>
      <c r="E659" s="20"/>
      <c r="F659" s="6"/>
      <c r="G659" s="6"/>
      <c r="H659" s="6"/>
      <c r="I659" s="6"/>
      <c r="J659" s="6"/>
      <c r="K659" s="6"/>
      <c r="L659" s="6"/>
      <c r="M659" s="6"/>
      <c r="N659" s="6"/>
      <c r="O659" s="6"/>
      <c r="P659" s="6"/>
      <c r="Q659" s="6"/>
      <c r="R659" s="6"/>
      <c r="S659" s="6"/>
      <c r="T659" s="6"/>
      <c r="U659" s="6"/>
      <c r="V659" s="6"/>
      <c r="W659" s="6"/>
      <c r="X659" s="6"/>
      <c r="Y659" s="6"/>
      <c r="Z659" s="6"/>
    </row>
    <row r="660" ht="18.0" customHeight="1">
      <c r="A660" s="315" t="s">
        <v>2701</v>
      </c>
      <c r="B660" s="312" t="s">
        <v>2702</v>
      </c>
      <c r="C660" s="20"/>
      <c r="D660" s="20"/>
      <c r="E660" s="20"/>
      <c r="F660" s="6"/>
      <c r="G660" s="6"/>
      <c r="H660" s="6"/>
      <c r="I660" s="6"/>
      <c r="J660" s="6"/>
      <c r="K660" s="6"/>
      <c r="L660" s="6"/>
      <c r="M660" s="6"/>
      <c r="N660" s="6"/>
      <c r="O660" s="6"/>
      <c r="P660" s="6"/>
      <c r="Q660" s="6"/>
      <c r="R660" s="6"/>
      <c r="S660" s="6"/>
      <c r="T660" s="6"/>
      <c r="U660" s="6"/>
      <c r="V660" s="6"/>
      <c r="W660" s="6"/>
      <c r="X660" s="6"/>
      <c r="Y660" s="6"/>
      <c r="Z660" s="6"/>
    </row>
    <row r="661" ht="18.0" customHeight="1">
      <c r="A661" s="316">
        <v>1.1</v>
      </c>
      <c r="B661" s="312" t="s">
        <v>2703</v>
      </c>
      <c r="C661" s="20"/>
      <c r="D661" s="20"/>
      <c r="E661" s="20"/>
      <c r="F661" s="6"/>
      <c r="G661" s="6"/>
      <c r="H661" s="6"/>
      <c r="I661" s="6"/>
      <c r="J661" s="6"/>
      <c r="K661" s="6"/>
      <c r="L661" s="6"/>
      <c r="M661" s="6"/>
      <c r="N661" s="6"/>
      <c r="O661" s="6"/>
      <c r="P661" s="6"/>
      <c r="Q661" s="6"/>
      <c r="R661" s="6"/>
      <c r="S661" s="6"/>
      <c r="T661" s="6"/>
      <c r="U661" s="6"/>
      <c r="V661" s="6"/>
      <c r="W661" s="6"/>
      <c r="X661" s="6"/>
      <c r="Y661" s="6"/>
      <c r="Z661" s="6"/>
    </row>
    <row r="662" ht="18.0" customHeight="1">
      <c r="A662" s="315" t="s">
        <v>2704</v>
      </c>
      <c r="B662" s="312" t="s">
        <v>2705</v>
      </c>
      <c r="C662" s="20"/>
      <c r="D662" s="20"/>
      <c r="E662" s="20"/>
      <c r="F662" s="6"/>
      <c r="G662" s="6"/>
      <c r="H662" s="6"/>
      <c r="I662" s="6"/>
      <c r="J662" s="6"/>
      <c r="K662" s="6"/>
      <c r="L662" s="6"/>
      <c r="M662" s="6"/>
      <c r="N662" s="6"/>
      <c r="O662" s="6"/>
      <c r="P662" s="6"/>
      <c r="Q662" s="6"/>
      <c r="R662" s="6"/>
      <c r="S662" s="6"/>
      <c r="T662" s="6"/>
      <c r="U662" s="6"/>
      <c r="V662" s="6"/>
      <c r="W662" s="6"/>
      <c r="X662" s="6"/>
      <c r="Y662" s="6"/>
      <c r="Z662" s="6"/>
    </row>
    <row r="663" ht="18.0" customHeight="1">
      <c r="A663" s="315" t="s">
        <v>2706</v>
      </c>
      <c r="B663" s="312" t="s">
        <v>2707</v>
      </c>
      <c r="C663" s="20"/>
      <c r="D663" s="20"/>
      <c r="E663" s="20"/>
      <c r="F663" s="6"/>
      <c r="G663" s="6"/>
      <c r="H663" s="6"/>
      <c r="I663" s="6"/>
      <c r="J663" s="6"/>
      <c r="K663" s="6"/>
      <c r="L663" s="6"/>
      <c r="M663" s="6"/>
      <c r="N663" s="6"/>
      <c r="O663" s="6"/>
      <c r="P663" s="6"/>
      <c r="Q663" s="6"/>
      <c r="R663" s="6"/>
      <c r="S663" s="6"/>
      <c r="T663" s="6"/>
      <c r="U663" s="6"/>
      <c r="V663" s="6"/>
      <c r="W663" s="6"/>
      <c r="X663" s="6"/>
      <c r="Y663" s="6"/>
      <c r="Z663" s="6"/>
    </row>
    <row r="664" ht="18.0" customHeight="1">
      <c r="A664" s="315" t="s">
        <v>2708</v>
      </c>
      <c r="B664" s="312" t="s">
        <v>2709</v>
      </c>
      <c r="C664" s="20"/>
      <c r="D664" s="20"/>
      <c r="E664" s="20"/>
      <c r="F664" s="6"/>
      <c r="G664" s="6"/>
      <c r="H664" s="6"/>
      <c r="I664" s="6"/>
      <c r="J664" s="6"/>
      <c r="K664" s="6"/>
      <c r="L664" s="6"/>
      <c r="M664" s="6"/>
      <c r="N664" s="6"/>
      <c r="O664" s="6"/>
      <c r="P664" s="6"/>
      <c r="Q664" s="6"/>
      <c r="R664" s="6"/>
      <c r="S664" s="6"/>
      <c r="T664" s="6"/>
      <c r="U664" s="6"/>
      <c r="V664" s="6"/>
      <c r="W664" s="6"/>
      <c r="X664" s="6"/>
      <c r="Y664" s="6"/>
      <c r="Z664" s="6"/>
    </row>
    <row r="665" ht="18.0" customHeight="1">
      <c r="A665" s="315" t="s">
        <v>2710</v>
      </c>
      <c r="B665" s="312" t="s">
        <v>2711</v>
      </c>
      <c r="C665" s="20"/>
      <c r="D665" s="20"/>
      <c r="E665" s="20"/>
      <c r="F665" s="6"/>
      <c r="G665" s="6"/>
      <c r="H665" s="6"/>
      <c r="I665" s="6"/>
      <c r="J665" s="6"/>
      <c r="K665" s="6"/>
      <c r="L665" s="6"/>
      <c r="M665" s="6"/>
      <c r="N665" s="6"/>
      <c r="O665" s="6"/>
      <c r="P665" s="6"/>
      <c r="Q665" s="6"/>
      <c r="R665" s="6"/>
      <c r="S665" s="6"/>
      <c r="T665" s="6"/>
      <c r="U665" s="6"/>
      <c r="V665" s="6"/>
      <c r="W665" s="6"/>
      <c r="X665" s="6"/>
      <c r="Y665" s="6"/>
      <c r="Z665" s="6"/>
    </row>
    <row r="666" ht="18.0" customHeight="1">
      <c r="A666" s="315" t="s">
        <v>2712</v>
      </c>
      <c r="B666" s="312" t="s">
        <v>2713</v>
      </c>
      <c r="C666" s="20"/>
      <c r="D666" s="20"/>
      <c r="E666" s="20"/>
      <c r="F666" s="6"/>
      <c r="G666" s="6"/>
      <c r="H666" s="6"/>
      <c r="I666" s="6"/>
      <c r="J666" s="6"/>
      <c r="K666" s="6"/>
      <c r="L666" s="6"/>
      <c r="M666" s="6"/>
      <c r="N666" s="6"/>
      <c r="O666" s="6"/>
      <c r="P666" s="6"/>
      <c r="Q666" s="6"/>
      <c r="R666" s="6"/>
      <c r="S666" s="6"/>
      <c r="T666" s="6"/>
      <c r="U666" s="6"/>
      <c r="V666" s="6"/>
      <c r="W666" s="6"/>
      <c r="X666" s="6"/>
      <c r="Y666" s="6"/>
      <c r="Z666" s="6"/>
    </row>
    <row r="667" ht="18.0" customHeight="1">
      <c r="A667" s="315" t="s">
        <v>2714</v>
      </c>
      <c r="B667" s="312" t="s">
        <v>2715</v>
      </c>
      <c r="C667" s="20"/>
      <c r="D667" s="20"/>
      <c r="E667" s="20"/>
      <c r="F667" s="6"/>
      <c r="G667" s="6"/>
      <c r="H667" s="6"/>
      <c r="I667" s="6"/>
      <c r="J667" s="6"/>
      <c r="K667" s="6"/>
      <c r="L667" s="6"/>
      <c r="M667" s="6"/>
      <c r="N667" s="6"/>
      <c r="O667" s="6"/>
      <c r="P667" s="6"/>
      <c r="Q667" s="6"/>
      <c r="R667" s="6"/>
      <c r="S667" s="6"/>
      <c r="T667" s="6"/>
      <c r="U667" s="6"/>
      <c r="V667" s="6"/>
      <c r="W667" s="6"/>
      <c r="X667" s="6"/>
      <c r="Y667" s="6"/>
      <c r="Z667" s="6"/>
    </row>
    <row r="668" ht="18.0" customHeight="1">
      <c r="A668" s="315" t="s">
        <v>2716</v>
      </c>
      <c r="B668" s="312" t="s">
        <v>2717</v>
      </c>
      <c r="C668" s="20"/>
      <c r="D668" s="20"/>
      <c r="E668" s="20"/>
      <c r="F668" s="6"/>
      <c r="G668" s="6"/>
      <c r="H668" s="6"/>
      <c r="I668" s="6"/>
      <c r="J668" s="6"/>
      <c r="K668" s="6"/>
      <c r="L668" s="6"/>
      <c r="M668" s="6"/>
      <c r="N668" s="6"/>
      <c r="O668" s="6"/>
      <c r="P668" s="6"/>
      <c r="Q668" s="6"/>
      <c r="R668" s="6"/>
      <c r="S668" s="6"/>
      <c r="T668" s="6"/>
      <c r="U668" s="6"/>
      <c r="V668" s="6"/>
      <c r="W668" s="6"/>
      <c r="X668" s="6"/>
      <c r="Y668" s="6"/>
      <c r="Z668" s="6"/>
    </row>
    <row r="669" ht="18.0" customHeight="1">
      <c r="A669" s="316">
        <v>1.2</v>
      </c>
      <c r="B669" s="312" t="s">
        <v>2718</v>
      </c>
      <c r="C669" s="20"/>
      <c r="D669" s="20"/>
      <c r="E669" s="20"/>
      <c r="F669" s="6"/>
      <c r="G669" s="6"/>
      <c r="H669" s="6"/>
      <c r="I669" s="6"/>
      <c r="J669" s="6"/>
      <c r="K669" s="6"/>
      <c r="L669" s="6"/>
      <c r="M669" s="6"/>
      <c r="N669" s="6"/>
      <c r="O669" s="6"/>
      <c r="P669" s="6"/>
      <c r="Q669" s="6"/>
      <c r="R669" s="6"/>
      <c r="S669" s="6"/>
      <c r="T669" s="6"/>
      <c r="U669" s="6"/>
      <c r="V669" s="6"/>
      <c r="W669" s="6"/>
      <c r="X669" s="6"/>
      <c r="Y669" s="6"/>
      <c r="Z669" s="6"/>
    </row>
    <row r="670" ht="18.0" customHeight="1">
      <c r="A670" s="315" t="s">
        <v>2719</v>
      </c>
      <c r="B670" s="312" t="s">
        <v>2720</v>
      </c>
      <c r="C670" s="20"/>
      <c r="D670" s="20"/>
      <c r="E670" s="20"/>
      <c r="F670" s="6"/>
      <c r="G670" s="6"/>
      <c r="H670" s="6"/>
      <c r="I670" s="6"/>
      <c r="J670" s="6"/>
      <c r="K670" s="6"/>
      <c r="L670" s="6"/>
      <c r="M670" s="6"/>
      <c r="N670" s="6"/>
      <c r="O670" s="6"/>
      <c r="P670" s="6"/>
      <c r="Q670" s="6"/>
      <c r="R670" s="6"/>
      <c r="S670" s="6"/>
      <c r="T670" s="6"/>
      <c r="U670" s="6"/>
      <c r="V670" s="6"/>
      <c r="W670" s="6"/>
      <c r="X670" s="6"/>
      <c r="Y670" s="6"/>
      <c r="Z670" s="6"/>
    </row>
    <row r="671" ht="18.0" customHeight="1">
      <c r="A671" s="315" t="s">
        <v>2721</v>
      </c>
      <c r="B671" s="312" t="s">
        <v>2722</v>
      </c>
      <c r="C671" s="20"/>
      <c r="D671" s="20"/>
      <c r="E671" s="20"/>
      <c r="F671" s="6"/>
      <c r="G671" s="6"/>
      <c r="H671" s="6"/>
      <c r="I671" s="6"/>
      <c r="J671" s="6"/>
      <c r="K671" s="6"/>
      <c r="L671" s="6"/>
      <c r="M671" s="6"/>
      <c r="N671" s="6"/>
      <c r="O671" s="6"/>
      <c r="P671" s="6"/>
      <c r="Q671" s="6"/>
      <c r="R671" s="6"/>
      <c r="S671" s="6"/>
      <c r="T671" s="6"/>
      <c r="U671" s="6"/>
      <c r="V671" s="6"/>
      <c r="W671" s="6"/>
      <c r="X671" s="6"/>
      <c r="Y671" s="6"/>
      <c r="Z671" s="6"/>
    </row>
    <row r="672" ht="18.0" customHeight="1">
      <c r="A672" s="315" t="s">
        <v>2723</v>
      </c>
      <c r="B672" s="312" t="s">
        <v>2724</v>
      </c>
      <c r="C672" s="20"/>
      <c r="D672" s="20"/>
      <c r="E672" s="20"/>
      <c r="F672" s="6"/>
      <c r="G672" s="6"/>
      <c r="H672" s="6"/>
      <c r="I672" s="6"/>
      <c r="J672" s="6"/>
      <c r="K672" s="6"/>
      <c r="L672" s="6"/>
      <c r="M672" s="6"/>
      <c r="N672" s="6"/>
      <c r="O672" s="6"/>
      <c r="P672" s="6"/>
      <c r="Q672" s="6"/>
      <c r="R672" s="6"/>
      <c r="S672" s="6"/>
      <c r="T672" s="6"/>
      <c r="U672" s="6"/>
      <c r="V672" s="6"/>
      <c r="W672" s="6"/>
      <c r="X672" s="6"/>
      <c r="Y672" s="6"/>
      <c r="Z672" s="6"/>
    </row>
    <row r="673" ht="18.0" customHeight="1">
      <c r="A673" s="316">
        <v>1.3</v>
      </c>
      <c r="B673" s="312" t="s">
        <v>2725</v>
      </c>
      <c r="C673" s="20"/>
      <c r="D673" s="20"/>
      <c r="E673" s="20"/>
      <c r="F673" s="6"/>
      <c r="G673" s="6"/>
      <c r="H673" s="6"/>
      <c r="I673" s="6"/>
      <c r="J673" s="6"/>
      <c r="K673" s="6"/>
      <c r="L673" s="6"/>
      <c r="M673" s="6"/>
      <c r="N673" s="6"/>
      <c r="O673" s="6"/>
      <c r="P673" s="6"/>
      <c r="Q673" s="6"/>
      <c r="R673" s="6"/>
      <c r="S673" s="6"/>
      <c r="T673" s="6"/>
      <c r="U673" s="6"/>
      <c r="V673" s="6"/>
      <c r="W673" s="6"/>
      <c r="X673" s="6"/>
      <c r="Y673" s="6"/>
      <c r="Z673" s="6"/>
    </row>
    <row r="674" ht="18.0" customHeight="1">
      <c r="A674" s="315" t="s">
        <v>2726</v>
      </c>
      <c r="B674" s="312" t="s">
        <v>2727</v>
      </c>
      <c r="C674" s="20"/>
      <c r="D674" s="20"/>
      <c r="E674" s="20"/>
      <c r="F674" s="6"/>
      <c r="G674" s="6"/>
      <c r="H674" s="6"/>
      <c r="I674" s="6"/>
      <c r="J674" s="6"/>
      <c r="K674" s="6"/>
      <c r="L674" s="6"/>
      <c r="M674" s="6"/>
      <c r="N674" s="6"/>
      <c r="O674" s="6"/>
      <c r="P674" s="6"/>
      <c r="Q674" s="6"/>
      <c r="R674" s="6"/>
      <c r="S674" s="6"/>
      <c r="T674" s="6"/>
      <c r="U674" s="6"/>
      <c r="V674" s="6"/>
      <c r="W674" s="6"/>
      <c r="X674" s="6"/>
      <c r="Y674" s="6"/>
      <c r="Z674" s="6"/>
    </row>
    <row r="675" ht="18.0" customHeight="1">
      <c r="A675" s="315" t="s">
        <v>2728</v>
      </c>
      <c r="B675" s="312" t="s">
        <v>2729</v>
      </c>
      <c r="C675" s="20"/>
      <c r="D675" s="20"/>
      <c r="E675" s="20"/>
      <c r="F675" s="6"/>
      <c r="G675" s="6"/>
      <c r="H675" s="6"/>
      <c r="I675" s="6"/>
      <c r="J675" s="6"/>
      <c r="K675" s="6"/>
      <c r="L675" s="6"/>
      <c r="M675" s="6"/>
      <c r="N675" s="6"/>
      <c r="O675" s="6"/>
      <c r="P675" s="6"/>
      <c r="Q675" s="6"/>
      <c r="R675" s="6"/>
      <c r="S675" s="6"/>
      <c r="T675" s="6"/>
      <c r="U675" s="6"/>
      <c r="V675" s="6"/>
      <c r="W675" s="6"/>
      <c r="X675" s="6"/>
      <c r="Y675" s="6"/>
      <c r="Z675" s="6"/>
    </row>
    <row r="676" ht="18.0" customHeight="1">
      <c r="A676" s="315" t="s">
        <v>2730</v>
      </c>
      <c r="B676" s="312" t="s">
        <v>2731</v>
      </c>
      <c r="C676" s="20"/>
      <c r="D676" s="20"/>
      <c r="E676" s="20"/>
      <c r="F676" s="6"/>
      <c r="G676" s="6"/>
      <c r="H676" s="6"/>
      <c r="I676" s="6"/>
      <c r="J676" s="6"/>
      <c r="K676" s="6"/>
      <c r="L676" s="6"/>
      <c r="M676" s="6"/>
      <c r="N676" s="6"/>
      <c r="O676" s="6"/>
      <c r="P676" s="6"/>
      <c r="Q676" s="6"/>
      <c r="R676" s="6"/>
      <c r="S676" s="6"/>
      <c r="T676" s="6"/>
      <c r="U676" s="6"/>
      <c r="V676" s="6"/>
      <c r="W676" s="6"/>
      <c r="X676" s="6"/>
      <c r="Y676" s="6"/>
      <c r="Z676" s="6"/>
    </row>
    <row r="677" ht="18.0" customHeight="1">
      <c r="A677" s="315" t="s">
        <v>2732</v>
      </c>
      <c r="B677" s="312" t="s">
        <v>2733</v>
      </c>
      <c r="C677" s="20"/>
      <c r="D677" s="20"/>
      <c r="E677" s="20"/>
      <c r="F677" s="6"/>
      <c r="G677" s="6"/>
      <c r="H677" s="6"/>
      <c r="I677" s="6"/>
      <c r="J677" s="6"/>
      <c r="K677" s="6"/>
      <c r="L677" s="6"/>
      <c r="M677" s="6"/>
      <c r="N677" s="6"/>
      <c r="O677" s="6"/>
      <c r="P677" s="6"/>
      <c r="Q677" s="6"/>
      <c r="R677" s="6"/>
      <c r="S677" s="6"/>
      <c r="T677" s="6"/>
      <c r="U677" s="6"/>
      <c r="V677" s="6"/>
      <c r="W677" s="6"/>
      <c r="X677" s="6"/>
      <c r="Y677" s="6"/>
      <c r="Z677" s="6"/>
    </row>
    <row r="678" ht="18.0" customHeight="1">
      <c r="A678" s="315" t="s">
        <v>2734</v>
      </c>
      <c r="B678" s="312" t="s">
        <v>2735</v>
      </c>
      <c r="C678" s="20"/>
      <c r="D678" s="20"/>
      <c r="E678" s="20"/>
      <c r="F678" s="6"/>
      <c r="G678" s="6"/>
      <c r="H678" s="6"/>
      <c r="I678" s="6"/>
      <c r="J678" s="6"/>
      <c r="K678" s="6"/>
      <c r="L678" s="6"/>
      <c r="M678" s="6"/>
      <c r="N678" s="6"/>
      <c r="O678" s="6"/>
      <c r="P678" s="6"/>
      <c r="Q678" s="6"/>
      <c r="R678" s="6"/>
      <c r="S678" s="6"/>
      <c r="T678" s="6"/>
      <c r="U678" s="6"/>
      <c r="V678" s="6"/>
      <c r="W678" s="6"/>
      <c r="X678" s="6"/>
      <c r="Y678" s="6"/>
      <c r="Z678" s="6"/>
    </row>
    <row r="679" ht="18.0" customHeight="1">
      <c r="A679" s="315" t="s">
        <v>2736</v>
      </c>
      <c r="B679" s="312" t="s">
        <v>2737</v>
      </c>
      <c r="C679" s="20"/>
      <c r="D679" s="20"/>
      <c r="E679" s="20"/>
      <c r="F679" s="6"/>
      <c r="G679" s="6"/>
      <c r="H679" s="6"/>
      <c r="I679" s="6"/>
      <c r="J679" s="6"/>
      <c r="K679" s="6"/>
      <c r="L679" s="6"/>
      <c r="M679" s="6"/>
      <c r="N679" s="6"/>
      <c r="O679" s="6"/>
      <c r="P679" s="6"/>
      <c r="Q679" s="6"/>
      <c r="R679" s="6"/>
      <c r="S679" s="6"/>
      <c r="T679" s="6"/>
      <c r="U679" s="6"/>
      <c r="V679" s="6"/>
      <c r="W679" s="6"/>
      <c r="X679" s="6"/>
      <c r="Y679" s="6"/>
      <c r="Z679" s="6"/>
    </row>
    <row r="680" ht="18.0" customHeight="1">
      <c r="A680" s="315" t="s">
        <v>2738</v>
      </c>
      <c r="B680" s="312" t="s">
        <v>2739</v>
      </c>
      <c r="C680" s="20"/>
      <c r="D680" s="20"/>
      <c r="E680" s="20"/>
      <c r="F680" s="6"/>
      <c r="G680" s="6"/>
      <c r="H680" s="6"/>
      <c r="I680" s="6"/>
      <c r="J680" s="6"/>
      <c r="K680" s="6"/>
      <c r="L680" s="6"/>
      <c r="M680" s="6"/>
      <c r="N680" s="6"/>
      <c r="O680" s="6"/>
      <c r="P680" s="6"/>
      <c r="Q680" s="6"/>
      <c r="R680" s="6"/>
      <c r="S680" s="6"/>
      <c r="T680" s="6"/>
      <c r="U680" s="6"/>
      <c r="V680" s="6"/>
      <c r="W680" s="6"/>
      <c r="X680" s="6"/>
      <c r="Y680" s="6"/>
      <c r="Z680" s="6"/>
    </row>
    <row r="681" ht="18.0" customHeight="1">
      <c r="A681" s="316">
        <v>1.4</v>
      </c>
      <c r="B681" s="312" t="s">
        <v>2740</v>
      </c>
      <c r="C681" s="20"/>
      <c r="D681" s="20"/>
      <c r="E681" s="20"/>
      <c r="F681" s="6"/>
      <c r="G681" s="6"/>
      <c r="H681" s="6"/>
      <c r="I681" s="6"/>
      <c r="J681" s="6"/>
      <c r="K681" s="6"/>
      <c r="L681" s="6"/>
      <c r="M681" s="6"/>
      <c r="N681" s="6"/>
      <c r="O681" s="6"/>
      <c r="P681" s="6"/>
      <c r="Q681" s="6"/>
      <c r="R681" s="6"/>
      <c r="S681" s="6"/>
      <c r="T681" s="6"/>
      <c r="U681" s="6"/>
      <c r="V681" s="6"/>
      <c r="W681" s="6"/>
      <c r="X681" s="6"/>
      <c r="Y681" s="6"/>
      <c r="Z681" s="6"/>
    </row>
    <row r="682" ht="18.0" customHeight="1">
      <c r="A682" s="316">
        <v>1.5</v>
      </c>
      <c r="B682" s="312" t="s">
        <v>2741</v>
      </c>
      <c r="C682" s="20"/>
      <c r="D682" s="20"/>
      <c r="E682" s="20"/>
      <c r="F682" s="6"/>
      <c r="G682" s="6"/>
      <c r="H682" s="6"/>
      <c r="I682" s="6"/>
      <c r="J682" s="6"/>
      <c r="K682" s="6"/>
      <c r="L682" s="6"/>
      <c r="M682" s="6"/>
      <c r="N682" s="6"/>
      <c r="O682" s="6"/>
      <c r="P682" s="6"/>
      <c r="Q682" s="6"/>
      <c r="R682" s="6"/>
      <c r="S682" s="6"/>
      <c r="T682" s="6"/>
      <c r="U682" s="6"/>
      <c r="V682" s="6"/>
      <c r="W682" s="6"/>
      <c r="X682" s="6"/>
      <c r="Y682" s="6"/>
      <c r="Z682" s="6"/>
    </row>
    <row r="683" ht="18.0" customHeight="1">
      <c r="A683" s="315" t="s">
        <v>2742</v>
      </c>
      <c r="B683" s="312" t="s">
        <v>2743</v>
      </c>
      <c r="C683" s="20"/>
      <c r="D683" s="20"/>
      <c r="E683" s="20"/>
      <c r="F683" s="6"/>
      <c r="G683" s="6"/>
      <c r="H683" s="6"/>
      <c r="I683" s="6"/>
      <c r="J683" s="6"/>
      <c r="K683" s="6"/>
      <c r="L683" s="6"/>
      <c r="M683" s="6"/>
      <c r="N683" s="6"/>
      <c r="O683" s="6"/>
      <c r="P683" s="6"/>
      <c r="Q683" s="6"/>
      <c r="R683" s="6"/>
      <c r="S683" s="6"/>
      <c r="T683" s="6"/>
      <c r="U683" s="6"/>
      <c r="V683" s="6"/>
      <c r="W683" s="6"/>
      <c r="X683" s="6"/>
      <c r="Y683" s="6"/>
      <c r="Z683" s="6"/>
    </row>
    <row r="684" ht="18.0" customHeight="1">
      <c r="A684" s="316">
        <v>2.1</v>
      </c>
      <c r="B684" s="312" t="s">
        <v>2744</v>
      </c>
      <c r="C684" s="20"/>
      <c r="D684" s="20"/>
      <c r="E684" s="20"/>
      <c r="F684" s="6"/>
      <c r="G684" s="6"/>
      <c r="H684" s="6"/>
      <c r="I684" s="6"/>
      <c r="J684" s="6"/>
      <c r="K684" s="6"/>
      <c r="L684" s="6"/>
      <c r="M684" s="6"/>
      <c r="N684" s="6"/>
      <c r="O684" s="6"/>
      <c r="P684" s="6"/>
      <c r="Q684" s="6"/>
      <c r="R684" s="6"/>
      <c r="S684" s="6"/>
      <c r="T684" s="6"/>
      <c r="U684" s="6"/>
      <c r="V684" s="6"/>
      <c r="W684" s="6"/>
      <c r="X684" s="6"/>
      <c r="Y684" s="6"/>
      <c r="Z684" s="6"/>
    </row>
    <row r="685" ht="18.0" customHeight="1">
      <c r="A685" s="315" t="s">
        <v>2745</v>
      </c>
      <c r="B685" s="312" t="s">
        <v>2746</v>
      </c>
      <c r="C685" s="20"/>
      <c r="D685" s="20"/>
      <c r="E685" s="20"/>
      <c r="F685" s="6"/>
      <c r="G685" s="6"/>
      <c r="H685" s="6"/>
      <c r="I685" s="6"/>
      <c r="J685" s="6"/>
      <c r="K685" s="6"/>
      <c r="L685" s="6"/>
      <c r="M685" s="6"/>
      <c r="N685" s="6"/>
      <c r="O685" s="6"/>
      <c r="P685" s="6"/>
      <c r="Q685" s="6"/>
      <c r="R685" s="6"/>
      <c r="S685" s="6"/>
      <c r="T685" s="6"/>
      <c r="U685" s="6"/>
      <c r="V685" s="6"/>
      <c r="W685" s="6"/>
      <c r="X685" s="6"/>
      <c r="Y685" s="6"/>
      <c r="Z685" s="6"/>
    </row>
    <row r="686" ht="18.0" customHeight="1">
      <c r="A686" s="316">
        <v>2.2</v>
      </c>
      <c r="B686" s="312" t="s">
        <v>2747</v>
      </c>
      <c r="C686" s="20"/>
      <c r="D686" s="20"/>
      <c r="E686" s="20"/>
      <c r="F686" s="6"/>
      <c r="G686" s="6"/>
      <c r="H686" s="6"/>
      <c r="I686" s="6"/>
      <c r="J686" s="6"/>
      <c r="K686" s="6"/>
      <c r="L686" s="6"/>
      <c r="M686" s="6"/>
      <c r="N686" s="6"/>
      <c r="O686" s="6"/>
      <c r="P686" s="6"/>
      <c r="Q686" s="6"/>
      <c r="R686" s="6"/>
      <c r="S686" s="6"/>
      <c r="T686" s="6"/>
      <c r="U686" s="6"/>
      <c r="V686" s="6"/>
      <c r="W686" s="6"/>
      <c r="X686" s="6"/>
      <c r="Y686" s="6"/>
      <c r="Z686" s="6"/>
    </row>
    <row r="687" ht="18.0" customHeight="1">
      <c r="A687" s="315" t="s">
        <v>2748</v>
      </c>
      <c r="B687" s="312" t="s">
        <v>2749</v>
      </c>
      <c r="C687" s="20"/>
      <c r="D687" s="20"/>
      <c r="E687" s="20"/>
      <c r="F687" s="6"/>
      <c r="G687" s="6"/>
      <c r="H687" s="6"/>
      <c r="I687" s="6"/>
      <c r="J687" s="6"/>
      <c r="K687" s="6"/>
      <c r="L687" s="6"/>
      <c r="M687" s="6"/>
      <c r="N687" s="6"/>
      <c r="O687" s="6"/>
      <c r="P687" s="6"/>
      <c r="Q687" s="6"/>
      <c r="R687" s="6"/>
      <c r="S687" s="6"/>
      <c r="T687" s="6"/>
      <c r="U687" s="6"/>
      <c r="V687" s="6"/>
      <c r="W687" s="6"/>
      <c r="X687" s="6"/>
      <c r="Y687" s="6"/>
      <c r="Z687" s="6"/>
    </row>
    <row r="688" ht="18.0" customHeight="1">
      <c r="A688" s="315" t="s">
        <v>2750</v>
      </c>
      <c r="B688" s="312" t="s">
        <v>2751</v>
      </c>
      <c r="C688" s="20"/>
      <c r="D688" s="20"/>
      <c r="E688" s="20"/>
      <c r="F688" s="6"/>
      <c r="G688" s="6"/>
      <c r="H688" s="6"/>
      <c r="I688" s="6"/>
      <c r="J688" s="6"/>
      <c r="K688" s="6"/>
      <c r="L688" s="6"/>
      <c r="M688" s="6"/>
      <c r="N688" s="6"/>
      <c r="O688" s="6"/>
      <c r="P688" s="6"/>
      <c r="Q688" s="6"/>
      <c r="R688" s="6"/>
      <c r="S688" s="6"/>
      <c r="T688" s="6"/>
      <c r="U688" s="6"/>
      <c r="V688" s="6"/>
      <c r="W688" s="6"/>
      <c r="X688" s="6"/>
      <c r="Y688" s="6"/>
      <c r="Z688" s="6"/>
    </row>
    <row r="689" ht="18.0" customHeight="1">
      <c r="A689" s="315" t="s">
        <v>2752</v>
      </c>
      <c r="B689" s="312" t="s">
        <v>2753</v>
      </c>
      <c r="C689" s="20"/>
      <c r="D689" s="20"/>
      <c r="E689" s="20"/>
      <c r="F689" s="6"/>
      <c r="G689" s="6"/>
      <c r="H689" s="6"/>
      <c r="I689" s="6"/>
      <c r="J689" s="6"/>
      <c r="K689" s="6"/>
      <c r="L689" s="6"/>
      <c r="M689" s="6"/>
      <c r="N689" s="6"/>
      <c r="O689" s="6"/>
      <c r="P689" s="6"/>
      <c r="Q689" s="6"/>
      <c r="R689" s="6"/>
      <c r="S689" s="6"/>
      <c r="T689" s="6"/>
      <c r="U689" s="6"/>
      <c r="V689" s="6"/>
      <c r="W689" s="6"/>
      <c r="X689" s="6"/>
      <c r="Y689" s="6"/>
      <c r="Z689" s="6"/>
    </row>
    <row r="690" ht="18.0" customHeight="1">
      <c r="A690" s="315" t="s">
        <v>2754</v>
      </c>
      <c r="B690" s="312" t="s">
        <v>2755</v>
      </c>
      <c r="C690" s="20"/>
      <c r="D690" s="20"/>
      <c r="E690" s="20"/>
      <c r="F690" s="6"/>
      <c r="G690" s="6"/>
      <c r="H690" s="6"/>
      <c r="I690" s="6"/>
      <c r="J690" s="6"/>
      <c r="K690" s="6"/>
      <c r="L690" s="6"/>
      <c r="M690" s="6"/>
      <c r="N690" s="6"/>
      <c r="O690" s="6"/>
      <c r="P690" s="6"/>
      <c r="Q690" s="6"/>
      <c r="R690" s="6"/>
      <c r="S690" s="6"/>
      <c r="T690" s="6"/>
      <c r="U690" s="6"/>
      <c r="V690" s="6"/>
      <c r="W690" s="6"/>
      <c r="X690" s="6"/>
      <c r="Y690" s="6"/>
      <c r="Z690" s="6"/>
    </row>
    <row r="691" ht="18.0" customHeight="1">
      <c r="A691" s="315" t="s">
        <v>2756</v>
      </c>
      <c r="B691" s="312" t="s">
        <v>2757</v>
      </c>
      <c r="C691" s="20"/>
      <c r="D691" s="20"/>
      <c r="E691" s="20"/>
      <c r="F691" s="6"/>
      <c r="G691" s="6"/>
      <c r="H691" s="6"/>
      <c r="I691" s="6"/>
      <c r="J691" s="6"/>
      <c r="K691" s="6"/>
      <c r="L691" s="6"/>
      <c r="M691" s="6"/>
      <c r="N691" s="6"/>
      <c r="O691" s="6"/>
      <c r="P691" s="6"/>
      <c r="Q691" s="6"/>
      <c r="R691" s="6"/>
      <c r="S691" s="6"/>
      <c r="T691" s="6"/>
      <c r="U691" s="6"/>
      <c r="V691" s="6"/>
      <c r="W691" s="6"/>
      <c r="X691" s="6"/>
      <c r="Y691" s="6"/>
      <c r="Z691" s="6"/>
    </row>
    <row r="692" ht="18.0" customHeight="1">
      <c r="A692" s="316">
        <v>2.3</v>
      </c>
      <c r="B692" s="312" t="s">
        <v>2758</v>
      </c>
      <c r="C692" s="20"/>
      <c r="D692" s="20"/>
      <c r="E692" s="20"/>
      <c r="F692" s="6"/>
      <c r="G692" s="6"/>
      <c r="H692" s="6"/>
      <c r="I692" s="6"/>
      <c r="J692" s="6"/>
      <c r="K692" s="6"/>
      <c r="L692" s="6"/>
      <c r="M692" s="6"/>
      <c r="N692" s="6"/>
      <c r="O692" s="6"/>
      <c r="P692" s="6"/>
      <c r="Q692" s="6"/>
      <c r="R692" s="6"/>
      <c r="S692" s="6"/>
      <c r="T692" s="6"/>
      <c r="U692" s="6"/>
      <c r="V692" s="6"/>
      <c r="W692" s="6"/>
      <c r="X692" s="6"/>
      <c r="Y692" s="6"/>
      <c r="Z692" s="6"/>
    </row>
    <row r="693" ht="18.0" customHeight="1">
      <c r="A693" s="316">
        <v>2.4</v>
      </c>
      <c r="B693" s="312" t="s">
        <v>2759</v>
      </c>
      <c r="C693" s="20"/>
      <c r="D693" s="20"/>
      <c r="E693" s="20"/>
      <c r="F693" s="6"/>
      <c r="G693" s="6"/>
      <c r="H693" s="6"/>
      <c r="I693" s="6"/>
      <c r="J693" s="6"/>
      <c r="K693" s="6"/>
      <c r="L693" s="6"/>
      <c r="M693" s="6"/>
      <c r="N693" s="6"/>
      <c r="O693" s="6"/>
      <c r="P693" s="6"/>
      <c r="Q693" s="6"/>
      <c r="R693" s="6"/>
      <c r="S693" s="6"/>
      <c r="T693" s="6"/>
      <c r="U693" s="6"/>
      <c r="V693" s="6"/>
      <c r="W693" s="6"/>
      <c r="X693" s="6"/>
      <c r="Y693" s="6"/>
      <c r="Z693" s="6"/>
    </row>
    <row r="694" ht="18.0" customHeight="1">
      <c r="A694" s="316">
        <v>2.5</v>
      </c>
      <c r="B694" s="312" t="s">
        <v>2760</v>
      </c>
      <c r="C694" s="20"/>
      <c r="D694" s="20"/>
      <c r="E694" s="20"/>
      <c r="F694" s="6"/>
      <c r="G694" s="6"/>
      <c r="H694" s="6"/>
      <c r="I694" s="6"/>
      <c r="J694" s="6"/>
      <c r="K694" s="6"/>
      <c r="L694" s="6"/>
      <c r="M694" s="6"/>
      <c r="N694" s="6"/>
      <c r="O694" s="6"/>
      <c r="P694" s="6"/>
      <c r="Q694" s="6"/>
      <c r="R694" s="6"/>
      <c r="S694" s="6"/>
      <c r="T694" s="6"/>
      <c r="U694" s="6"/>
      <c r="V694" s="6"/>
      <c r="W694" s="6"/>
      <c r="X694" s="6"/>
      <c r="Y694" s="6"/>
      <c r="Z694" s="6"/>
    </row>
    <row r="695" ht="18.0" customHeight="1">
      <c r="A695" s="316">
        <v>2.6</v>
      </c>
      <c r="B695" s="312" t="s">
        <v>2761</v>
      </c>
      <c r="C695" s="20"/>
      <c r="D695" s="20"/>
      <c r="E695" s="20"/>
      <c r="F695" s="6"/>
      <c r="G695" s="6"/>
      <c r="H695" s="6"/>
      <c r="I695" s="6"/>
      <c r="J695" s="6"/>
      <c r="K695" s="6"/>
      <c r="L695" s="6"/>
      <c r="M695" s="6"/>
      <c r="N695" s="6"/>
      <c r="O695" s="6"/>
      <c r="P695" s="6"/>
      <c r="Q695" s="6"/>
      <c r="R695" s="6"/>
      <c r="S695" s="6"/>
      <c r="T695" s="6"/>
      <c r="U695" s="6"/>
      <c r="V695" s="6"/>
      <c r="W695" s="6"/>
      <c r="X695" s="6"/>
      <c r="Y695" s="6"/>
      <c r="Z695" s="6"/>
    </row>
    <row r="696" ht="18.0" customHeight="1">
      <c r="A696" s="315" t="s">
        <v>2762</v>
      </c>
      <c r="B696" s="312" t="s">
        <v>2763</v>
      </c>
      <c r="C696" s="20"/>
      <c r="D696" s="20"/>
      <c r="E696" s="20"/>
      <c r="F696" s="6"/>
      <c r="G696" s="6"/>
      <c r="H696" s="6"/>
      <c r="I696" s="6"/>
      <c r="J696" s="6"/>
      <c r="K696" s="6"/>
      <c r="L696" s="6"/>
      <c r="M696" s="6"/>
      <c r="N696" s="6"/>
      <c r="O696" s="6"/>
      <c r="P696" s="6"/>
      <c r="Q696" s="6"/>
      <c r="R696" s="6"/>
      <c r="S696" s="6"/>
      <c r="T696" s="6"/>
      <c r="U696" s="6"/>
      <c r="V696" s="6"/>
      <c r="W696" s="6"/>
      <c r="X696" s="6"/>
      <c r="Y696" s="6"/>
      <c r="Z696" s="6"/>
    </row>
    <row r="697" ht="18.0" customHeight="1">
      <c r="A697" s="316">
        <v>3.1</v>
      </c>
      <c r="B697" s="312" t="s">
        <v>2764</v>
      </c>
      <c r="C697" s="20"/>
      <c r="D697" s="20"/>
      <c r="E697" s="20"/>
      <c r="F697" s="6"/>
      <c r="G697" s="6"/>
      <c r="H697" s="6"/>
      <c r="I697" s="6"/>
      <c r="J697" s="6"/>
      <c r="K697" s="6"/>
      <c r="L697" s="6"/>
      <c r="M697" s="6"/>
      <c r="N697" s="6"/>
      <c r="O697" s="6"/>
      <c r="P697" s="6"/>
      <c r="Q697" s="6"/>
      <c r="R697" s="6"/>
      <c r="S697" s="6"/>
      <c r="T697" s="6"/>
      <c r="U697" s="6"/>
      <c r="V697" s="6"/>
      <c r="W697" s="6"/>
      <c r="X697" s="6"/>
      <c r="Y697" s="6"/>
      <c r="Z697" s="6"/>
    </row>
    <row r="698" ht="18.0" customHeight="1">
      <c r="A698" s="316">
        <v>3.2</v>
      </c>
      <c r="B698" s="312" t="s">
        <v>2765</v>
      </c>
      <c r="C698" s="20"/>
      <c r="D698" s="20"/>
      <c r="E698" s="20"/>
      <c r="F698" s="6"/>
      <c r="G698" s="6"/>
      <c r="H698" s="6"/>
      <c r="I698" s="6"/>
      <c r="J698" s="6"/>
      <c r="K698" s="6"/>
      <c r="L698" s="6"/>
      <c r="M698" s="6"/>
      <c r="N698" s="6"/>
      <c r="O698" s="6"/>
      <c r="P698" s="6"/>
      <c r="Q698" s="6"/>
      <c r="R698" s="6"/>
      <c r="S698" s="6"/>
      <c r="T698" s="6"/>
      <c r="U698" s="6"/>
      <c r="V698" s="6"/>
      <c r="W698" s="6"/>
      <c r="X698" s="6"/>
      <c r="Y698" s="6"/>
      <c r="Z698" s="6"/>
    </row>
    <row r="699" ht="18.0" customHeight="1">
      <c r="A699" s="315" t="s">
        <v>1086</v>
      </c>
      <c r="B699" s="312" t="s">
        <v>2766</v>
      </c>
      <c r="C699" s="20"/>
      <c r="D699" s="20"/>
      <c r="E699" s="20"/>
      <c r="F699" s="6"/>
      <c r="G699" s="6"/>
      <c r="H699" s="6"/>
      <c r="I699" s="6"/>
      <c r="J699" s="6"/>
      <c r="K699" s="6"/>
      <c r="L699" s="6"/>
      <c r="M699" s="6"/>
      <c r="N699" s="6"/>
      <c r="O699" s="6"/>
      <c r="P699" s="6"/>
      <c r="Q699" s="6"/>
      <c r="R699" s="6"/>
      <c r="S699" s="6"/>
      <c r="T699" s="6"/>
      <c r="U699" s="6"/>
      <c r="V699" s="6"/>
      <c r="W699" s="6"/>
      <c r="X699" s="6"/>
      <c r="Y699" s="6"/>
      <c r="Z699" s="6"/>
    </row>
    <row r="700" ht="18.0" customHeight="1">
      <c r="A700" s="315" t="s">
        <v>1115</v>
      </c>
      <c r="B700" s="312" t="s">
        <v>2767</v>
      </c>
      <c r="C700" s="20"/>
      <c r="D700" s="20"/>
      <c r="E700" s="20"/>
      <c r="F700" s="6"/>
      <c r="G700" s="6"/>
      <c r="H700" s="6"/>
      <c r="I700" s="6"/>
      <c r="J700" s="6"/>
      <c r="K700" s="6"/>
      <c r="L700" s="6"/>
      <c r="M700" s="6"/>
      <c r="N700" s="6"/>
      <c r="O700" s="6"/>
      <c r="P700" s="6"/>
      <c r="Q700" s="6"/>
      <c r="R700" s="6"/>
      <c r="S700" s="6"/>
      <c r="T700" s="6"/>
      <c r="U700" s="6"/>
      <c r="V700" s="6"/>
      <c r="W700" s="6"/>
      <c r="X700" s="6"/>
      <c r="Y700" s="6"/>
      <c r="Z700" s="6"/>
    </row>
    <row r="701" ht="18.0" customHeight="1">
      <c r="A701" s="315" t="s">
        <v>1978</v>
      </c>
      <c r="B701" s="312" t="s">
        <v>2768</v>
      </c>
      <c r="C701" s="20"/>
      <c r="D701" s="20"/>
      <c r="E701" s="20"/>
      <c r="F701" s="6"/>
      <c r="G701" s="6"/>
      <c r="H701" s="6"/>
      <c r="I701" s="6"/>
      <c r="J701" s="6"/>
      <c r="K701" s="6"/>
      <c r="L701" s="6"/>
      <c r="M701" s="6"/>
      <c r="N701" s="6"/>
      <c r="O701" s="6"/>
      <c r="P701" s="6"/>
      <c r="Q701" s="6"/>
      <c r="R701" s="6"/>
      <c r="S701" s="6"/>
      <c r="T701" s="6"/>
      <c r="U701" s="6"/>
      <c r="V701" s="6"/>
      <c r="W701" s="6"/>
      <c r="X701" s="6"/>
      <c r="Y701" s="6"/>
      <c r="Z701" s="6"/>
    </row>
    <row r="702" ht="18.0" customHeight="1">
      <c r="A702" s="316">
        <v>3.3</v>
      </c>
      <c r="B702" s="312" t="s">
        <v>2769</v>
      </c>
      <c r="C702" s="20"/>
      <c r="D702" s="20"/>
      <c r="E702" s="20"/>
      <c r="F702" s="6"/>
      <c r="G702" s="6"/>
      <c r="H702" s="6"/>
      <c r="I702" s="6"/>
      <c r="J702" s="6"/>
      <c r="K702" s="6"/>
      <c r="L702" s="6"/>
      <c r="M702" s="6"/>
      <c r="N702" s="6"/>
      <c r="O702" s="6"/>
      <c r="P702" s="6"/>
      <c r="Q702" s="6"/>
      <c r="R702" s="6"/>
      <c r="S702" s="6"/>
      <c r="T702" s="6"/>
      <c r="U702" s="6"/>
      <c r="V702" s="6"/>
      <c r="W702" s="6"/>
      <c r="X702" s="6"/>
      <c r="Y702" s="6"/>
      <c r="Z702" s="6"/>
    </row>
    <row r="703" ht="18.0" customHeight="1">
      <c r="A703" s="316">
        <v>3.4</v>
      </c>
      <c r="B703" s="312" t="s">
        <v>2770</v>
      </c>
      <c r="C703" s="20"/>
      <c r="D703" s="20"/>
      <c r="E703" s="20"/>
      <c r="F703" s="6"/>
      <c r="G703" s="6"/>
      <c r="H703" s="6"/>
      <c r="I703" s="6"/>
      <c r="J703" s="6"/>
      <c r="K703" s="6"/>
      <c r="L703" s="6"/>
      <c r="M703" s="6"/>
      <c r="N703" s="6"/>
      <c r="O703" s="6"/>
      <c r="P703" s="6"/>
      <c r="Q703" s="6"/>
      <c r="R703" s="6"/>
      <c r="S703" s="6"/>
      <c r="T703" s="6"/>
      <c r="U703" s="6"/>
      <c r="V703" s="6"/>
      <c r="W703" s="6"/>
      <c r="X703" s="6"/>
      <c r="Y703" s="6"/>
      <c r="Z703" s="6"/>
    </row>
    <row r="704" ht="18.0" customHeight="1">
      <c r="A704" s="315" t="s">
        <v>1996</v>
      </c>
      <c r="B704" s="312" t="s">
        <v>2771</v>
      </c>
      <c r="C704" s="20"/>
      <c r="D704" s="20"/>
      <c r="E704" s="20"/>
      <c r="F704" s="6"/>
      <c r="G704" s="6"/>
      <c r="H704" s="6"/>
      <c r="I704" s="6"/>
      <c r="J704" s="6"/>
      <c r="K704" s="6"/>
      <c r="L704" s="6"/>
      <c r="M704" s="6"/>
      <c r="N704" s="6"/>
      <c r="O704" s="6"/>
      <c r="P704" s="6"/>
      <c r="Q704" s="6"/>
      <c r="R704" s="6"/>
      <c r="S704" s="6"/>
      <c r="T704" s="6"/>
      <c r="U704" s="6"/>
      <c r="V704" s="6"/>
      <c r="W704" s="6"/>
      <c r="X704" s="6"/>
      <c r="Y704" s="6"/>
      <c r="Z704" s="6"/>
    </row>
    <row r="705" ht="18.0" customHeight="1">
      <c r="A705" s="316">
        <v>3.5</v>
      </c>
      <c r="B705" s="312" t="s">
        <v>2772</v>
      </c>
      <c r="C705" s="20"/>
      <c r="D705" s="20"/>
      <c r="E705" s="20"/>
      <c r="F705" s="6"/>
      <c r="G705" s="6"/>
      <c r="H705" s="6"/>
      <c r="I705" s="6"/>
      <c r="J705" s="6"/>
      <c r="K705" s="6"/>
      <c r="L705" s="6"/>
      <c r="M705" s="6"/>
      <c r="N705" s="6"/>
      <c r="O705" s="6"/>
      <c r="P705" s="6"/>
      <c r="Q705" s="6"/>
      <c r="R705" s="6"/>
      <c r="S705" s="6"/>
      <c r="T705" s="6"/>
      <c r="U705" s="6"/>
      <c r="V705" s="6"/>
      <c r="W705" s="6"/>
      <c r="X705" s="6"/>
      <c r="Y705" s="6"/>
      <c r="Z705" s="6"/>
    </row>
    <row r="706" ht="18.0" customHeight="1">
      <c r="A706" s="315" t="s">
        <v>893</v>
      </c>
      <c r="B706" s="312" t="s">
        <v>2773</v>
      </c>
      <c r="C706" s="20"/>
      <c r="D706" s="20"/>
      <c r="E706" s="20"/>
      <c r="F706" s="6"/>
      <c r="G706" s="6"/>
      <c r="H706" s="6"/>
      <c r="I706" s="6"/>
      <c r="J706" s="6"/>
      <c r="K706" s="6"/>
      <c r="L706" s="6"/>
      <c r="M706" s="6"/>
      <c r="N706" s="6"/>
      <c r="O706" s="6"/>
      <c r="P706" s="6"/>
      <c r="Q706" s="6"/>
      <c r="R706" s="6"/>
      <c r="S706" s="6"/>
      <c r="T706" s="6"/>
      <c r="U706" s="6"/>
      <c r="V706" s="6"/>
      <c r="W706" s="6"/>
      <c r="X706" s="6"/>
      <c r="Y706" s="6"/>
      <c r="Z706" s="6"/>
    </row>
    <row r="707" ht="18.0" customHeight="1">
      <c r="A707" s="315" t="s">
        <v>2013</v>
      </c>
      <c r="B707" s="312" t="s">
        <v>2774</v>
      </c>
      <c r="C707" s="20"/>
      <c r="D707" s="20"/>
      <c r="E707" s="20"/>
      <c r="F707" s="6"/>
      <c r="G707" s="6"/>
      <c r="H707" s="6"/>
      <c r="I707" s="6"/>
      <c r="J707" s="6"/>
      <c r="K707" s="6"/>
      <c r="L707" s="6"/>
      <c r="M707" s="6"/>
      <c r="N707" s="6"/>
      <c r="O707" s="6"/>
      <c r="P707" s="6"/>
      <c r="Q707" s="6"/>
      <c r="R707" s="6"/>
      <c r="S707" s="6"/>
      <c r="T707" s="6"/>
      <c r="U707" s="6"/>
      <c r="V707" s="6"/>
      <c r="W707" s="6"/>
      <c r="X707" s="6"/>
      <c r="Y707" s="6"/>
      <c r="Z707" s="6"/>
    </row>
    <row r="708" ht="18.0" customHeight="1">
      <c r="A708" s="315" t="s">
        <v>2015</v>
      </c>
      <c r="B708" s="312" t="s">
        <v>2775</v>
      </c>
      <c r="C708" s="20"/>
      <c r="D708" s="20"/>
      <c r="E708" s="20"/>
      <c r="F708" s="6"/>
      <c r="G708" s="6"/>
      <c r="H708" s="6"/>
      <c r="I708" s="6"/>
      <c r="J708" s="6"/>
      <c r="K708" s="6"/>
      <c r="L708" s="6"/>
      <c r="M708" s="6"/>
      <c r="N708" s="6"/>
      <c r="O708" s="6"/>
      <c r="P708" s="6"/>
      <c r="Q708" s="6"/>
      <c r="R708" s="6"/>
      <c r="S708" s="6"/>
      <c r="T708" s="6"/>
      <c r="U708" s="6"/>
      <c r="V708" s="6"/>
      <c r="W708" s="6"/>
      <c r="X708" s="6"/>
      <c r="Y708" s="6"/>
      <c r="Z708" s="6"/>
    </row>
    <row r="709" ht="18.0" customHeight="1">
      <c r="A709" s="315" t="s">
        <v>2017</v>
      </c>
      <c r="B709" s="312" t="s">
        <v>2776</v>
      </c>
      <c r="C709" s="20"/>
      <c r="D709" s="20"/>
      <c r="E709" s="20"/>
      <c r="F709" s="6"/>
      <c r="G709" s="6"/>
      <c r="H709" s="6"/>
      <c r="I709" s="6"/>
      <c r="J709" s="6"/>
      <c r="K709" s="6"/>
      <c r="L709" s="6"/>
      <c r="M709" s="6"/>
      <c r="N709" s="6"/>
      <c r="O709" s="6"/>
      <c r="P709" s="6"/>
      <c r="Q709" s="6"/>
      <c r="R709" s="6"/>
      <c r="S709" s="6"/>
      <c r="T709" s="6"/>
      <c r="U709" s="6"/>
      <c r="V709" s="6"/>
      <c r="W709" s="6"/>
      <c r="X709" s="6"/>
      <c r="Y709" s="6"/>
      <c r="Z709" s="6"/>
    </row>
    <row r="710" ht="18.0" customHeight="1">
      <c r="A710" s="316">
        <v>3.6</v>
      </c>
      <c r="B710" s="312" t="s">
        <v>2777</v>
      </c>
      <c r="C710" s="20"/>
      <c r="D710" s="20"/>
      <c r="E710" s="20"/>
      <c r="F710" s="6"/>
      <c r="G710" s="6"/>
      <c r="H710" s="6"/>
      <c r="I710" s="6"/>
      <c r="J710" s="6"/>
      <c r="K710" s="6"/>
      <c r="L710" s="6"/>
      <c r="M710" s="6"/>
      <c r="N710" s="6"/>
      <c r="O710" s="6"/>
      <c r="P710" s="6"/>
      <c r="Q710" s="6"/>
      <c r="R710" s="6"/>
      <c r="S710" s="6"/>
      <c r="T710" s="6"/>
      <c r="U710" s="6"/>
      <c r="V710" s="6"/>
      <c r="W710" s="6"/>
      <c r="X710" s="6"/>
      <c r="Y710" s="6"/>
      <c r="Z710" s="6"/>
    </row>
    <row r="711" ht="18.0" customHeight="1">
      <c r="A711" s="315" t="s">
        <v>2029</v>
      </c>
      <c r="B711" s="312" t="s">
        <v>2778</v>
      </c>
      <c r="C711" s="20"/>
      <c r="D711" s="20"/>
      <c r="E711" s="20"/>
      <c r="F711" s="6"/>
      <c r="G711" s="6"/>
      <c r="H711" s="6"/>
      <c r="I711" s="6"/>
      <c r="J711" s="6"/>
      <c r="K711" s="6"/>
      <c r="L711" s="6"/>
      <c r="M711" s="6"/>
      <c r="N711" s="6"/>
      <c r="O711" s="6"/>
      <c r="P711" s="6"/>
      <c r="Q711" s="6"/>
      <c r="R711" s="6"/>
      <c r="S711" s="6"/>
      <c r="T711" s="6"/>
      <c r="U711" s="6"/>
      <c r="V711" s="6"/>
      <c r="W711" s="6"/>
      <c r="X711" s="6"/>
      <c r="Y711" s="6"/>
      <c r="Z711" s="6"/>
    </row>
    <row r="712" ht="18.0" customHeight="1">
      <c r="A712" s="315" t="s">
        <v>1005</v>
      </c>
      <c r="B712" s="312" t="s">
        <v>2779</v>
      </c>
      <c r="C712" s="20"/>
      <c r="D712" s="20"/>
      <c r="E712" s="20"/>
      <c r="F712" s="6"/>
      <c r="G712" s="6"/>
      <c r="H712" s="6"/>
      <c r="I712" s="6"/>
      <c r="J712" s="6"/>
      <c r="K712" s="6"/>
      <c r="L712" s="6"/>
      <c r="M712" s="6"/>
      <c r="N712" s="6"/>
      <c r="O712" s="6"/>
      <c r="P712" s="6"/>
      <c r="Q712" s="6"/>
      <c r="R712" s="6"/>
      <c r="S712" s="6"/>
      <c r="T712" s="6"/>
      <c r="U712" s="6"/>
      <c r="V712" s="6"/>
      <c r="W712" s="6"/>
      <c r="X712" s="6"/>
      <c r="Y712" s="6"/>
      <c r="Z712" s="6"/>
    </row>
    <row r="713" ht="18.0" customHeight="1">
      <c r="A713" s="315" t="s">
        <v>2032</v>
      </c>
      <c r="B713" s="312" t="s">
        <v>2780</v>
      </c>
      <c r="C713" s="20"/>
      <c r="D713" s="20"/>
      <c r="E713" s="20"/>
      <c r="F713" s="6"/>
      <c r="G713" s="6"/>
      <c r="H713" s="6"/>
      <c r="I713" s="6"/>
      <c r="J713" s="6"/>
      <c r="K713" s="6"/>
      <c r="L713" s="6"/>
      <c r="M713" s="6"/>
      <c r="N713" s="6"/>
      <c r="O713" s="6"/>
      <c r="P713" s="6"/>
      <c r="Q713" s="6"/>
      <c r="R713" s="6"/>
      <c r="S713" s="6"/>
      <c r="T713" s="6"/>
      <c r="U713" s="6"/>
      <c r="V713" s="6"/>
      <c r="W713" s="6"/>
      <c r="X713" s="6"/>
      <c r="Y713" s="6"/>
      <c r="Z713" s="6"/>
    </row>
    <row r="714" ht="18.0" customHeight="1">
      <c r="A714" s="315" t="s">
        <v>2781</v>
      </c>
      <c r="B714" s="312" t="s">
        <v>2782</v>
      </c>
      <c r="C714" s="20"/>
      <c r="D714" s="20"/>
      <c r="E714" s="20"/>
      <c r="F714" s="6"/>
      <c r="G714" s="6"/>
      <c r="H714" s="6"/>
      <c r="I714" s="6"/>
      <c r="J714" s="6"/>
      <c r="K714" s="6"/>
      <c r="L714" s="6"/>
      <c r="M714" s="6"/>
      <c r="N714" s="6"/>
      <c r="O714" s="6"/>
      <c r="P714" s="6"/>
      <c r="Q714" s="6"/>
      <c r="R714" s="6"/>
      <c r="S714" s="6"/>
      <c r="T714" s="6"/>
      <c r="U714" s="6"/>
      <c r="V714" s="6"/>
      <c r="W714" s="6"/>
      <c r="X714" s="6"/>
      <c r="Y714" s="6"/>
      <c r="Z714" s="6"/>
    </row>
    <row r="715" ht="18.0" customHeight="1">
      <c r="A715" s="315" t="s">
        <v>2783</v>
      </c>
      <c r="B715" s="312" t="s">
        <v>2784</v>
      </c>
      <c r="C715" s="20"/>
      <c r="D715" s="20"/>
      <c r="E715" s="20"/>
      <c r="F715" s="6"/>
      <c r="G715" s="6"/>
      <c r="H715" s="6"/>
      <c r="I715" s="6"/>
      <c r="J715" s="6"/>
      <c r="K715" s="6"/>
      <c r="L715" s="6"/>
      <c r="M715" s="6"/>
      <c r="N715" s="6"/>
      <c r="O715" s="6"/>
      <c r="P715" s="6"/>
      <c r="Q715" s="6"/>
      <c r="R715" s="6"/>
      <c r="S715" s="6"/>
      <c r="T715" s="6"/>
      <c r="U715" s="6"/>
      <c r="V715" s="6"/>
      <c r="W715" s="6"/>
      <c r="X715" s="6"/>
      <c r="Y715" s="6"/>
      <c r="Z715" s="6"/>
    </row>
    <row r="716" ht="18.0" customHeight="1">
      <c r="A716" s="315" t="s">
        <v>2785</v>
      </c>
      <c r="B716" s="312" t="s">
        <v>2786</v>
      </c>
      <c r="C716" s="20"/>
      <c r="D716" s="20"/>
      <c r="E716" s="20"/>
      <c r="F716" s="6"/>
      <c r="G716" s="6"/>
      <c r="H716" s="6"/>
      <c r="I716" s="6"/>
      <c r="J716" s="6"/>
      <c r="K716" s="6"/>
      <c r="L716" s="6"/>
      <c r="M716" s="6"/>
      <c r="N716" s="6"/>
      <c r="O716" s="6"/>
      <c r="P716" s="6"/>
      <c r="Q716" s="6"/>
      <c r="R716" s="6"/>
      <c r="S716" s="6"/>
      <c r="T716" s="6"/>
      <c r="U716" s="6"/>
      <c r="V716" s="6"/>
      <c r="W716" s="6"/>
      <c r="X716" s="6"/>
      <c r="Y716" s="6"/>
      <c r="Z716" s="6"/>
    </row>
    <row r="717" ht="18.0" customHeight="1">
      <c r="A717" s="315" t="s">
        <v>2787</v>
      </c>
      <c r="B717" s="312" t="s">
        <v>2788</v>
      </c>
      <c r="C717" s="20"/>
      <c r="D717" s="20"/>
      <c r="E717" s="20"/>
      <c r="F717" s="6"/>
      <c r="G717" s="6"/>
      <c r="H717" s="6"/>
      <c r="I717" s="6"/>
      <c r="J717" s="6"/>
      <c r="K717" s="6"/>
      <c r="L717" s="6"/>
      <c r="M717" s="6"/>
      <c r="N717" s="6"/>
      <c r="O717" s="6"/>
      <c r="P717" s="6"/>
      <c r="Q717" s="6"/>
      <c r="R717" s="6"/>
      <c r="S717" s="6"/>
      <c r="T717" s="6"/>
      <c r="U717" s="6"/>
      <c r="V717" s="6"/>
      <c r="W717" s="6"/>
      <c r="X717" s="6"/>
      <c r="Y717" s="6"/>
      <c r="Z717" s="6"/>
    </row>
    <row r="718" ht="18.0" customHeight="1">
      <c r="A718" s="315" t="s">
        <v>2789</v>
      </c>
      <c r="B718" s="312" t="s">
        <v>2790</v>
      </c>
      <c r="C718" s="20"/>
      <c r="D718" s="20"/>
      <c r="E718" s="20"/>
      <c r="F718" s="6"/>
      <c r="G718" s="6"/>
      <c r="H718" s="6"/>
      <c r="I718" s="6"/>
      <c r="J718" s="6"/>
      <c r="K718" s="6"/>
      <c r="L718" s="6"/>
      <c r="M718" s="6"/>
      <c r="N718" s="6"/>
      <c r="O718" s="6"/>
      <c r="P718" s="6"/>
      <c r="Q718" s="6"/>
      <c r="R718" s="6"/>
      <c r="S718" s="6"/>
      <c r="T718" s="6"/>
      <c r="U718" s="6"/>
      <c r="V718" s="6"/>
      <c r="W718" s="6"/>
      <c r="X718" s="6"/>
      <c r="Y718" s="6"/>
      <c r="Z718" s="6"/>
    </row>
    <row r="719" ht="18.0" customHeight="1">
      <c r="A719" s="316">
        <v>3.7</v>
      </c>
      <c r="B719" s="312" t="s">
        <v>2791</v>
      </c>
      <c r="C719" s="20"/>
      <c r="D719" s="20"/>
      <c r="E719" s="20"/>
      <c r="F719" s="6"/>
      <c r="G719" s="6"/>
      <c r="H719" s="6"/>
      <c r="I719" s="6"/>
      <c r="J719" s="6"/>
      <c r="K719" s="6"/>
      <c r="L719" s="6"/>
      <c r="M719" s="6"/>
      <c r="N719" s="6"/>
      <c r="O719" s="6"/>
      <c r="P719" s="6"/>
      <c r="Q719" s="6"/>
      <c r="R719" s="6"/>
      <c r="S719" s="6"/>
      <c r="T719" s="6"/>
      <c r="U719" s="6"/>
      <c r="V719" s="6"/>
      <c r="W719" s="6"/>
      <c r="X719" s="6"/>
      <c r="Y719" s="6"/>
      <c r="Z719" s="6"/>
    </row>
    <row r="720" ht="18.0" customHeight="1">
      <c r="A720" s="315" t="s">
        <v>2792</v>
      </c>
      <c r="B720" s="312" t="s">
        <v>2793</v>
      </c>
      <c r="C720" s="20"/>
      <c r="D720" s="20"/>
      <c r="E720" s="20"/>
      <c r="F720" s="6"/>
      <c r="G720" s="6"/>
      <c r="H720" s="6"/>
      <c r="I720" s="6"/>
      <c r="J720" s="6"/>
      <c r="K720" s="6"/>
      <c r="L720" s="6"/>
      <c r="M720" s="6"/>
      <c r="N720" s="6"/>
      <c r="O720" s="6"/>
      <c r="P720" s="6"/>
      <c r="Q720" s="6"/>
      <c r="R720" s="6"/>
      <c r="S720" s="6"/>
      <c r="T720" s="6"/>
      <c r="U720" s="6"/>
      <c r="V720" s="6"/>
      <c r="W720" s="6"/>
      <c r="X720" s="6"/>
      <c r="Y720" s="6"/>
      <c r="Z720" s="6"/>
    </row>
    <row r="721" ht="18.0" customHeight="1">
      <c r="A721" s="316">
        <v>4.1</v>
      </c>
      <c r="B721" s="312" t="s">
        <v>2794</v>
      </c>
      <c r="C721" s="20"/>
      <c r="D721" s="20"/>
      <c r="E721" s="20"/>
      <c r="F721" s="6"/>
      <c r="G721" s="6"/>
      <c r="H721" s="6"/>
      <c r="I721" s="6"/>
      <c r="J721" s="6"/>
      <c r="K721" s="6"/>
      <c r="L721" s="6"/>
      <c r="M721" s="6"/>
      <c r="N721" s="6"/>
      <c r="O721" s="6"/>
      <c r="P721" s="6"/>
      <c r="Q721" s="6"/>
      <c r="R721" s="6"/>
      <c r="S721" s="6"/>
      <c r="T721" s="6"/>
      <c r="U721" s="6"/>
      <c r="V721" s="6"/>
      <c r="W721" s="6"/>
      <c r="X721" s="6"/>
      <c r="Y721" s="6"/>
      <c r="Z721" s="6"/>
    </row>
    <row r="722" ht="18.0" customHeight="1">
      <c r="A722" s="315" t="s">
        <v>2795</v>
      </c>
      <c r="B722" s="312" t="s">
        <v>2796</v>
      </c>
      <c r="C722" s="20"/>
      <c r="D722" s="20"/>
      <c r="E722" s="20"/>
      <c r="F722" s="6"/>
      <c r="G722" s="6"/>
      <c r="H722" s="6"/>
      <c r="I722" s="6"/>
      <c r="J722" s="6"/>
      <c r="K722" s="6"/>
      <c r="L722" s="6"/>
      <c r="M722" s="6"/>
      <c r="N722" s="6"/>
      <c r="O722" s="6"/>
      <c r="P722" s="6"/>
      <c r="Q722" s="6"/>
      <c r="R722" s="6"/>
      <c r="S722" s="6"/>
      <c r="T722" s="6"/>
      <c r="U722" s="6"/>
      <c r="V722" s="6"/>
      <c r="W722" s="6"/>
      <c r="X722" s="6"/>
      <c r="Y722" s="6"/>
      <c r="Z722" s="6"/>
    </row>
    <row r="723" ht="18.0" customHeight="1">
      <c r="A723" s="316">
        <v>4.2</v>
      </c>
      <c r="B723" s="312" t="s">
        <v>2797</v>
      </c>
      <c r="C723" s="20"/>
      <c r="D723" s="20"/>
      <c r="E723" s="20"/>
      <c r="F723" s="6"/>
      <c r="G723" s="6"/>
      <c r="H723" s="6"/>
      <c r="I723" s="6"/>
      <c r="J723" s="6"/>
      <c r="K723" s="6"/>
      <c r="L723" s="6"/>
      <c r="M723" s="6"/>
      <c r="N723" s="6"/>
      <c r="O723" s="6"/>
      <c r="P723" s="6"/>
      <c r="Q723" s="6"/>
      <c r="R723" s="6"/>
      <c r="S723" s="6"/>
      <c r="T723" s="6"/>
      <c r="U723" s="6"/>
      <c r="V723" s="6"/>
      <c r="W723" s="6"/>
      <c r="X723" s="6"/>
      <c r="Y723" s="6"/>
      <c r="Z723" s="6"/>
    </row>
    <row r="724" ht="18.0" customHeight="1">
      <c r="A724" s="316">
        <v>4.3</v>
      </c>
      <c r="B724" s="312" t="s">
        <v>2798</v>
      </c>
      <c r="C724" s="20"/>
      <c r="D724" s="20"/>
      <c r="E724" s="20"/>
      <c r="F724" s="6"/>
      <c r="G724" s="6"/>
      <c r="H724" s="6"/>
      <c r="I724" s="6"/>
      <c r="J724" s="6"/>
      <c r="K724" s="6"/>
      <c r="L724" s="6"/>
      <c r="M724" s="6"/>
      <c r="N724" s="6"/>
      <c r="O724" s="6"/>
      <c r="P724" s="6"/>
      <c r="Q724" s="6"/>
      <c r="R724" s="6"/>
      <c r="S724" s="6"/>
      <c r="T724" s="6"/>
      <c r="U724" s="6"/>
      <c r="V724" s="6"/>
      <c r="W724" s="6"/>
      <c r="X724" s="6"/>
      <c r="Y724" s="6"/>
      <c r="Z724" s="6"/>
    </row>
    <row r="725" ht="18.0" customHeight="1">
      <c r="A725" s="315" t="s">
        <v>2799</v>
      </c>
      <c r="B725" s="312" t="s">
        <v>2800</v>
      </c>
      <c r="C725" s="20"/>
      <c r="D725" s="20"/>
      <c r="E725" s="20"/>
      <c r="F725" s="6"/>
      <c r="G725" s="6"/>
      <c r="H725" s="6"/>
      <c r="I725" s="6"/>
      <c r="J725" s="6"/>
      <c r="K725" s="6"/>
      <c r="L725" s="6"/>
      <c r="M725" s="6"/>
      <c r="N725" s="6"/>
      <c r="O725" s="6"/>
      <c r="P725" s="6"/>
      <c r="Q725" s="6"/>
      <c r="R725" s="6"/>
      <c r="S725" s="6"/>
      <c r="T725" s="6"/>
      <c r="U725" s="6"/>
      <c r="V725" s="6"/>
      <c r="W725" s="6"/>
      <c r="X725" s="6"/>
      <c r="Y725" s="6"/>
      <c r="Z725" s="6"/>
    </row>
    <row r="726" ht="18.0" customHeight="1">
      <c r="A726" s="316">
        <v>5.1</v>
      </c>
      <c r="B726" s="312" t="s">
        <v>2801</v>
      </c>
      <c r="C726" s="20"/>
      <c r="D726" s="20"/>
      <c r="E726" s="20"/>
      <c r="F726" s="6"/>
      <c r="G726" s="6"/>
      <c r="H726" s="6"/>
      <c r="I726" s="6"/>
      <c r="J726" s="6"/>
      <c r="K726" s="6"/>
      <c r="L726" s="6"/>
      <c r="M726" s="6"/>
      <c r="N726" s="6"/>
      <c r="O726" s="6"/>
      <c r="P726" s="6"/>
      <c r="Q726" s="6"/>
      <c r="R726" s="6"/>
      <c r="S726" s="6"/>
      <c r="T726" s="6"/>
      <c r="U726" s="6"/>
      <c r="V726" s="6"/>
      <c r="W726" s="6"/>
      <c r="X726" s="6"/>
      <c r="Y726" s="6"/>
      <c r="Z726" s="6"/>
    </row>
    <row r="727" ht="18.0" customHeight="1">
      <c r="A727" s="315" t="s">
        <v>1046</v>
      </c>
      <c r="B727" s="312" t="s">
        <v>2802</v>
      </c>
      <c r="C727" s="20"/>
      <c r="D727" s="20"/>
      <c r="E727" s="20"/>
      <c r="F727" s="6"/>
      <c r="G727" s="6"/>
      <c r="H727" s="6"/>
      <c r="I727" s="6"/>
      <c r="J727" s="6"/>
      <c r="K727" s="6"/>
      <c r="L727" s="6"/>
      <c r="M727" s="6"/>
      <c r="N727" s="6"/>
      <c r="O727" s="6"/>
      <c r="P727" s="6"/>
      <c r="Q727" s="6"/>
      <c r="R727" s="6"/>
      <c r="S727" s="6"/>
      <c r="T727" s="6"/>
      <c r="U727" s="6"/>
      <c r="V727" s="6"/>
      <c r="W727" s="6"/>
      <c r="X727" s="6"/>
      <c r="Y727" s="6"/>
      <c r="Z727" s="6"/>
    </row>
    <row r="728" ht="18.0" customHeight="1">
      <c r="A728" s="315" t="s">
        <v>1557</v>
      </c>
      <c r="B728" s="312" t="s">
        <v>2803</v>
      </c>
      <c r="C728" s="20"/>
      <c r="D728" s="20"/>
      <c r="E728" s="20"/>
      <c r="F728" s="6"/>
      <c r="G728" s="6"/>
      <c r="H728" s="6"/>
      <c r="I728" s="6"/>
      <c r="J728" s="6"/>
      <c r="K728" s="6"/>
      <c r="L728" s="6"/>
      <c r="M728" s="6"/>
      <c r="N728" s="6"/>
      <c r="O728" s="6"/>
      <c r="P728" s="6"/>
      <c r="Q728" s="6"/>
      <c r="R728" s="6"/>
      <c r="S728" s="6"/>
      <c r="T728" s="6"/>
      <c r="U728" s="6"/>
      <c r="V728" s="6"/>
      <c r="W728" s="6"/>
      <c r="X728" s="6"/>
      <c r="Y728" s="6"/>
      <c r="Z728" s="6"/>
    </row>
    <row r="729" ht="18.0" customHeight="1">
      <c r="A729" s="316">
        <v>5.2</v>
      </c>
      <c r="B729" s="312" t="s">
        <v>2804</v>
      </c>
      <c r="C729" s="20"/>
      <c r="D729" s="20"/>
      <c r="E729" s="20"/>
      <c r="F729" s="6"/>
      <c r="G729" s="6"/>
      <c r="H729" s="6"/>
      <c r="I729" s="6"/>
      <c r="J729" s="6"/>
      <c r="K729" s="6"/>
      <c r="L729" s="6"/>
      <c r="M729" s="6"/>
      <c r="N729" s="6"/>
      <c r="O729" s="6"/>
      <c r="P729" s="6"/>
      <c r="Q729" s="6"/>
      <c r="R729" s="6"/>
      <c r="S729" s="6"/>
      <c r="T729" s="6"/>
      <c r="U729" s="6"/>
      <c r="V729" s="6"/>
      <c r="W729" s="6"/>
      <c r="X729" s="6"/>
      <c r="Y729" s="6"/>
      <c r="Z729" s="6"/>
    </row>
    <row r="730" ht="18.0" customHeight="1">
      <c r="A730" s="316">
        <v>5.3</v>
      </c>
      <c r="B730" s="312" t="s">
        <v>2805</v>
      </c>
      <c r="C730" s="20"/>
      <c r="D730" s="20"/>
      <c r="E730" s="20"/>
      <c r="F730" s="6"/>
      <c r="G730" s="6"/>
      <c r="H730" s="6"/>
      <c r="I730" s="6"/>
      <c r="J730" s="6"/>
      <c r="K730" s="6"/>
      <c r="L730" s="6"/>
      <c r="M730" s="6"/>
      <c r="N730" s="6"/>
      <c r="O730" s="6"/>
      <c r="P730" s="6"/>
      <c r="Q730" s="6"/>
      <c r="R730" s="6"/>
      <c r="S730" s="6"/>
      <c r="T730" s="6"/>
      <c r="U730" s="6"/>
      <c r="V730" s="6"/>
      <c r="W730" s="6"/>
      <c r="X730" s="6"/>
      <c r="Y730" s="6"/>
      <c r="Z730" s="6"/>
    </row>
    <row r="731" ht="18.0" customHeight="1">
      <c r="A731" s="316">
        <v>5.4</v>
      </c>
      <c r="B731" s="312" t="s">
        <v>2806</v>
      </c>
      <c r="C731" s="20"/>
      <c r="D731" s="20"/>
      <c r="E731" s="20"/>
      <c r="F731" s="6"/>
      <c r="G731" s="6"/>
      <c r="H731" s="6"/>
      <c r="I731" s="6"/>
      <c r="J731" s="6"/>
      <c r="K731" s="6"/>
      <c r="L731" s="6"/>
      <c r="M731" s="6"/>
      <c r="N731" s="6"/>
      <c r="O731" s="6"/>
      <c r="P731" s="6"/>
      <c r="Q731" s="6"/>
      <c r="R731" s="6"/>
      <c r="S731" s="6"/>
      <c r="T731" s="6"/>
      <c r="U731" s="6"/>
      <c r="V731" s="6"/>
      <c r="W731" s="6"/>
      <c r="X731" s="6"/>
      <c r="Y731" s="6"/>
      <c r="Z731" s="6"/>
    </row>
    <row r="732" ht="18.0" customHeight="1">
      <c r="A732" s="315" t="s">
        <v>2807</v>
      </c>
      <c r="B732" s="312" t="s">
        <v>2808</v>
      </c>
      <c r="C732" s="20"/>
      <c r="D732" s="20"/>
      <c r="E732" s="20"/>
      <c r="F732" s="6"/>
      <c r="G732" s="6"/>
      <c r="H732" s="6"/>
      <c r="I732" s="6"/>
      <c r="J732" s="6"/>
      <c r="K732" s="6"/>
      <c r="L732" s="6"/>
      <c r="M732" s="6"/>
      <c r="N732" s="6"/>
      <c r="O732" s="6"/>
      <c r="P732" s="6"/>
      <c r="Q732" s="6"/>
      <c r="R732" s="6"/>
      <c r="S732" s="6"/>
      <c r="T732" s="6"/>
      <c r="U732" s="6"/>
      <c r="V732" s="6"/>
      <c r="W732" s="6"/>
      <c r="X732" s="6"/>
      <c r="Y732" s="6"/>
      <c r="Z732" s="6"/>
    </row>
    <row r="733" ht="18.0" customHeight="1">
      <c r="A733" s="316">
        <v>6.1</v>
      </c>
      <c r="B733" s="312" t="s">
        <v>2809</v>
      </c>
      <c r="C733" s="20"/>
      <c r="D733" s="20"/>
      <c r="E733" s="20"/>
      <c r="F733" s="6"/>
      <c r="G733" s="6"/>
      <c r="H733" s="6"/>
      <c r="I733" s="6"/>
      <c r="J733" s="6"/>
      <c r="K733" s="6"/>
      <c r="L733" s="6"/>
      <c r="M733" s="6"/>
      <c r="N733" s="6"/>
      <c r="O733" s="6"/>
      <c r="P733" s="6"/>
      <c r="Q733" s="6"/>
      <c r="R733" s="6"/>
      <c r="S733" s="6"/>
      <c r="T733" s="6"/>
      <c r="U733" s="6"/>
      <c r="V733" s="6"/>
      <c r="W733" s="6"/>
      <c r="X733" s="6"/>
      <c r="Y733" s="6"/>
      <c r="Z733" s="6"/>
    </row>
    <row r="734" ht="18.0" customHeight="1">
      <c r="A734" s="316">
        <v>6.2</v>
      </c>
      <c r="B734" s="312" t="s">
        <v>2810</v>
      </c>
      <c r="C734" s="20"/>
      <c r="D734" s="20"/>
      <c r="E734" s="20"/>
      <c r="F734" s="6"/>
      <c r="G734" s="6"/>
      <c r="H734" s="6"/>
      <c r="I734" s="6"/>
      <c r="J734" s="6"/>
      <c r="K734" s="6"/>
      <c r="L734" s="6"/>
      <c r="M734" s="6"/>
      <c r="N734" s="6"/>
      <c r="O734" s="6"/>
      <c r="P734" s="6"/>
      <c r="Q734" s="6"/>
      <c r="R734" s="6"/>
      <c r="S734" s="6"/>
      <c r="T734" s="6"/>
      <c r="U734" s="6"/>
      <c r="V734" s="6"/>
      <c r="W734" s="6"/>
      <c r="X734" s="6"/>
      <c r="Y734" s="6"/>
      <c r="Z734" s="6"/>
    </row>
    <row r="735" ht="18.0" customHeight="1">
      <c r="A735" s="316">
        <v>6.3</v>
      </c>
      <c r="B735" s="312" t="s">
        <v>2811</v>
      </c>
      <c r="C735" s="20"/>
      <c r="D735" s="20"/>
      <c r="E735" s="20"/>
      <c r="F735" s="6"/>
      <c r="G735" s="6"/>
      <c r="H735" s="6"/>
      <c r="I735" s="6"/>
      <c r="J735" s="6"/>
      <c r="K735" s="6"/>
      <c r="L735" s="6"/>
      <c r="M735" s="6"/>
      <c r="N735" s="6"/>
      <c r="O735" s="6"/>
      <c r="P735" s="6"/>
      <c r="Q735" s="6"/>
      <c r="R735" s="6"/>
      <c r="S735" s="6"/>
      <c r="T735" s="6"/>
      <c r="U735" s="6"/>
      <c r="V735" s="6"/>
      <c r="W735" s="6"/>
      <c r="X735" s="6"/>
      <c r="Y735" s="6"/>
      <c r="Z735" s="6"/>
    </row>
    <row r="736" ht="18.0" customHeight="1">
      <c r="A736" s="315" t="s">
        <v>2812</v>
      </c>
      <c r="B736" s="312" t="s">
        <v>2813</v>
      </c>
      <c r="C736" s="20"/>
      <c r="D736" s="20"/>
      <c r="E736" s="20"/>
      <c r="F736" s="6"/>
      <c r="G736" s="6"/>
      <c r="H736" s="6"/>
      <c r="I736" s="6"/>
      <c r="J736" s="6"/>
      <c r="K736" s="6"/>
      <c r="L736" s="6"/>
      <c r="M736" s="6"/>
      <c r="N736" s="6"/>
      <c r="O736" s="6"/>
      <c r="P736" s="6"/>
      <c r="Q736" s="6"/>
      <c r="R736" s="6"/>
      <c r="S736" s="6"/>
      <c r="T736" s="6"/>
      <c r="U736" s="6"/>
      <c r="V736" s="6"/>
      <c r="W736" s="6"/>
      <c r="X736" s="6"/>
      <c r="Y736" s="6"/>
      <c r="Z736" s="6"/>
    </row>
    <row r="737" ht="18.0" customHeight="1">
      <c r="A737" s="315" t="s">
        <v>1060</v>
      </c>
      <c r="B737" s="312" t="s">
        <v>2814</v>
      </c>
      <c r="C737" s="20"/>
      <c r="D737" s="20"/>
      <c r="E737" s="20"/>
      <c r="F737" s="6"/>
      <c r="G737" s="6"/>
      <c r="H737" s="6"/>
      <c r="I737" s="6"/>
      <c r="J737" s="6"/>
      <c r="K737" s="6"/>
      <c r="L737" s="6"/>
      <c r="M737" s="6"/>
      <c r="N737" s="6"/>
      <c r="O737" s="6"/>
      <c r="P737" s="6"/>
      <c r="Q737" s="6"/>
      <c r="R737" s="6"/>
      <c r="S737" s="6"/>
      <c r="T737" s="6"/>
      <c r="U737" s="6"/>
      <c r="V737" s="6"/>
      <c r="W737" s="6"/>
      <c r="X737" s="6"/>
      <c r="Y737" s="6"/>
      <c r="Z737" s="6"/>
    </row>
    <row r="738" ht="18.0" customHeight="1">
      <c r="A738" s="316">
        <v>6.4</v>
      </c>
      <c r="B738" s="312" t="s">
        <v>2815</v>
      </c>
      <c r="C738" s="20"/>
      <c r="D738" s="20"/>
      <c r="E738" s="20"/>
      <c r="F738" s="6"/>
      <c r="G738" s="6"/>
      <c r="H738" s="6"/>
      <c r="I738" s="6"/>
      <c r="J738" s="6"/>
      <c r="K738" s="6"/>
      <c r="L738" s="6"/>
      <c r="M738" s="6"/>
      <c r="N738" s="6"/>
      <c r="O738" s="6"/>
      <c r="P738" s="6"/>
      <c r="Q738" s="6"/>
      <c r="R738" s="6"/>
      <c r="S738" s="6"/>
      <c r="T738" s="6"/>
      <c r="U738" s="6"/>
      <c r="V738" s="6"/>
      <c r="W738" s="6"/>
      <c r="X738" s="6"/>
      <c r="Y738" s="6"/>
      <c r="Z738" s="6"/>
    </row>
    <row r="739" ht="18.0" customHeight="1">
      <c r="A739" s="315" t="s">
        <v>2816</v>
      </c>
      <c r="B739" s="312" t="s">
        <v>2817</v>
      </c>
      <c r="C739" s="20"/>
      <c r="D739" s="20"/>
      <c r="E739" s="20"/>
      <c r="F739" s="6"/>
      <c r="G739" s="6"/>
      <c r="H739" s="6"/>
      <c r="I739" s="6"/>
      <c r="J739" s="6"/>
      <c r="K739" s="6"/>
      <c r="L739" s="6"/>
      <c r="M739" s="6"/>
      <c r="N739" s="6"/>
      <c r="O739" s="6"/>
      <c r="P739" s="6"/>
      <c r="Q739" s="6"/>
      <c r="R739" s="6"/>
      <c r="S739" s="6"/>
      <c r="T739" s="6"/>
      <c r="U739" s="6"/>
      <c r="V739" s="6"/>
      <c r="W739" s="6"/>
      <c r="X739" s="6"/>
      <c r="Y739" s="6"/>
      <c r="Z739" s="6"/>
    </row>
    <row r="740" ht="18.0" customHeight="1">
      <c r="A740" s="315" t="s">
        <v>2818</v>
      </c>
      <c r="B740" s="312" t="s">
        <v>2819</v>
      </c>
      <c r="C740" s="20"/>
      <c r="D740" s="20"/>
      <c r="E740" s="20"/>
      <c r="F740" s="6"/>
      <c r="G740" s="6"/>
      <c r="H740" s="6"/>
      <c r="I740" s="6"/>
      <c r="J740" s="6"/>
      <c r="K740" s="6"/>
      <c r="L740" s="6"/>
      <c r="M740" s="6"/>
      <c r="N740" s="6"/>
      <c r="O740" s="6"/>
      <c r="P740" s="6"/>
      <c r="Q740" s="6"/>
      <c r="R740" s="6"/>
      <c r="S740" s="6"/>
      <c r="T740" s="6"/>
      <c r="U740" s="6"/>
      <c r="V740" s="6"/>
      <c r="W740" s="6"/>
      <c r="X740" s="6"/>
      <c r="Y740" s="6"/>
      <c r="Z740" s="6"/>
    </row>
    <row r="741" ht="18.0" customHeight="1">
      <c r="A741" s="315" t="s">
        <v>2820</v>
      </c>
      <c r="B741" s="312" t="s">
        <v>2821</v>
      </c>
      <c r="C741" s="20"/>
      <c r="D741" s="20"/>
      <c r="E741" s="20"/>
      <c r="F741" s="6"/>
      <c r="G741" s="6"/>
      <c r="H741" s="6"/>
      <c r="I741" s="6"/>
      <c r="J741" s="6"/>
      <c r="K741" s="6"/>
      <c r="L741" s="6"/>
      <c r="M741" s="6"/>
      <c r="N741" s="6"/>
      <c r="O741" s="6"/>
      <c r="P741" s="6"/>
      <c r="Q741" s="6"/>
      <c r="R741" s="6"/>
      <c r="S741" s="6"/>
      <c r="T741" s="6"/>
      <c r="U741" s="6"/>
      <c r="V741" s="6"/>
      <c r="W741" s="6"/>
      <c r="X741" s="6"/>
      <c r="Y741" s="6"/>
      <c r="Z741" s="6"/>
    </row>
    <row r="742" ht="18.0" customHeight="1">
      <c r="A742" s="315" t="s">
        <v>2822</v>
      </c>
      <c r="B742" s="312" t="s">
        <v>2823</v>
      </c>
      <c r="C742" s="20"/>
      <c r="D742" s="20"/>
      <c r="E742" s="20"/>
      <c r="F742" s="6"/>
      <c r="G742" s="6"/>
      <c r="H742" s="6"/>
      <c r="I742" s="6"/>
      <c r="J742" s="6"/>
      <c r="K742" s="6"/>
      <c r="L742" s="6"/>
      <c r="M742" s="6"/>
      <c r="N742" s="6"/>
      <c r="O742" s="6"/>
      <c r="P742" s="6"/>
      <c r="Q742" s="6"/>
      <c r="R742" s="6"/>
      <c r="S742" s="6"/>
      <c r="T742" s="6"/>
      <c r="U742" s="6"/>
      <c r="V742" s="6"/>
      <c r="W742" s="6"/>
      <c r="X742" s="6"/>
      <c r="Y742" s="6"/>
      <c r="Z742" s="6"/>
    </row>
    <row r="743" ht="18.0" customHeight="1">
      <c r="A743" s="315" t="s">
        <v>1054</v>
      </c>
      <c r="B743" s="312" t="s">
        <v>2824</v>
      </c>
      <c r="C743" s="20"/>
      <c r="D743" s="20"/>
      <c r="E743" s="20"/>
      <c r="F743" s="6"/>
      <c r="G743" s="6"/>
      <c r="H743" s="6"/>
      <c r="I743" s="6"/>
      <c r="J743" s="6"/>
      <c r="K743" s="6"/>
      <c r="L743" s="6"/>
      <c r="M743" s="6"/>
      <c r="N743" s="6"/>
      <c r="O743" s="6"/>
      <c r="P743" s="6"/>
      <c r="Q743" s="6"/>
      <c r="R743" s="6"/>
      <c r="S743" s="6"/>
      <c r="T743" s="6"/>
      <c r="U743" s="6"/>
      <c r="V743" s="6"/>
      <c r="W743" s="6"/>
      <c r="X743" s="6"/>
      <c r="Y743" s="6"/>
      <c r="Z743" s="6"/>
    </row>
    <row r="744" ht="18.0" customHeight="1">
      <c r="A744" s="315" t="s">
        <v>2825</v>
      </c>
      <c r="B744" s="312" t="s">
        <v>2826</v>
      </c>
      <c r="C744" s="20"/>
      <c r="D744" s="20"/>
      <c r="E744" s="20"/>
      <c r="F744" s="6"/>
      <c r="G744" s="6"/>
      <c r="H744" s="6"/>
      <c r="I744" s="6"/>
      <c r="J744" s="6"/>
      <c r="K744" s="6"/>
      <c r="L744" s="6"/>
      <c r="M744" s="6"/>
      <c r="N744" s="6"/>
      <c r="O744" s="6"/>
      <c r="P744" s="6"/>
      <c r="Q744" s="6"/>
      <c r="R744" s="6"/>
      <c r="S744" s="6"/>
      <c r="T744" s="6"/>
      <c r="U744" s="6"/>
      <c r="V744" s="6"/>
      <c r="W744" s="6"/>
      <c r="X744" s="6"/>
      <c r="Y744" s="6"/>
      <c r="Z744" s="6"/>
    </row>
    <row r="745" ht="18.0" customHeight="1">
      <c r="A745" s="315" t="s">
        <v>2827</v>
      </c>
      <c r="B745" s="312" t="s">
        <v>2828</v>
      </c>
      <c r="C745" s="20"/>
      <c r="D745" s="20"/>
      <c r="E745" s="20"/>
      <c r="F745" s="6"/>
      <c r="G745" s="6"/>
      <c r="H745" s="6"/>
      <c r="I745" s="6"/>
      <c r="J745" s="6"/>
      <c r="K745" s="6"/>
      <c r="L745" s="6"/>
      <c r="M745" s="6"/>
      <c r="N745" s="6"/>
      <c r="O745" s="6"/>
      <c r="P745" s="6"/>
      <c r="Q745" s="6"/>
      <c r="R745" s="6"/>
      <c r="S745" s="6"/>
      <c r="T745" s="6"/>
      <c r="U745" s="6"/>
      <c r="V745" s="6"/>
      <c r="W745" s="6"/>
      <c r="X745" s="6"/>
      <c r="Y745" s="6"/>
      <c r="Z745" s="6"/>
    </row>
    <row r="746" ht="18.0" customHeight="1">
      <c r="A746" s="315" t="s">
        <v>2829</v>
      </c>
      <c r="B746" s="312" t="s">
        <v>2830</v>
      </c>
      <c r="C746" s="20"/>
      <c r="D746" s="20"/>
      <c r="E746" s="20"/>
      <c r="F746" s="6"/>
      <c r="G746" s="6"/>
      <c r="H746" s="6"/>
      <c r="I746" s="6"/>
      <c r="J746" s="6"/>
      <c r="K746" s="6"/>
      <c r="L746" s="6"/>
      <c r="M746" s="6"/>
      <c r="N746" s="6"/>
      <c r="O746" s="6"/>
      <c r="P746" s="6"/>
      <c r="Q746" s="6"/>
      <c r="R746" s="6"/>
      <c r="S746" s="6"/>
      <c r="T746" s="6"/>
      <c r="U746" s="6"/>
      <c r="V746" s="6"/>
      <c r="W746" s="6"/>
      <c r="X746" s="6"/>
      <c r="Y746" s="6"/>
      <c r="Z746" s="6"/>
    </row>
    <row r="747" ht="18.0" customHeight="1">
      <c r="A747" s="315" t="s">
        <v>2831</v>
      </c>
      <c r="B747" s="312" t="s">
        <v>2832</v>
      </c>
      <c r="C747" s="20"/>
      <c r="D747" s="20"/>
      <c r="E747" s="20"/>
      <c r="F747" s="6"/>
      <c r="G747" s="6"/>
      <c r="H747" s="6"/>
      <c r="I747" s="6"/>
      <c r="J747" s="6"/>
      <c r="K747" s="6"/>
      <c r="L747" s="6"/>
      <c r="M747" s="6"/>
      <c r="N747" s="6"/>
      <c r="O747" s="6"/>
      <c r="P747" s="6"/>
      <c r="Q747" s="6"/>
      <c r="R747" s="6"/>
      <c r="S747" s="6"/>
      <c r="T747" s="6"/>
      <c r="U747" s="6"/>
      <c r="V747" s="6"/>
      <c r="W747" s="6"/>
      <c r="X747" s="6"/>
      <c r="Y747" s="6"/>
      <c r="Z747" s="6"/>
    </row>
    <row r="748" ht="18.0" customHeight="1">
      <c r="A748" s="315" t="s">
        <v>2833</v>
      </c>
      <c r="B748" s="312" t="s">
        <v>2834</v>
      </c>
      <c r="C748" s="20"/>
      <c r="D748" s="20"/>
      <c r="E748" s="20"/>
      <c r="F748" s="6"/>
      <c r="G748" s="6"/>
      <c r="H748" s="6"/>
      <c r="I748" s="6"/>
      <c r="J748" s="6"/>
      <c r="K748" s="6"/>
      <c r="L748" s="6"/>
      <c r="M748" s="6"/>
      <c r="N748" s="6"/>
      <c r="O748" s="6"/>
      <c r="P748" s="6"/>
      <c r="Q748" s="6"/>
      <c r="R748" s="6"/>
      <c r="S748" s="6"/>
      <c r="T748" s="6"/>
      <c r="U748" s="6"/>
      <c r="V748" s="6"/>
      <c r="W748" s="6"/>
      <c r="X748" s="6"/>
      <c r="Y748" s="6"/>
      <c r="Z748" s="6"/>
    </row>
    <row r="749" ht="18.0" customHeight="1">
      <c r="A749" s="316">
        <v>6.5</v>
      </c>
      <c r="B749" s="312" t="s">
        <v>2835</v>
      </c>
      <c r="C749" s="20"/>
      <c r="D749" s="20"/>
      <c r="E749" s="20"/>
      <c r="F749" s="6"/>
      <c r="G749" s="6"/>
      <c r="H749" s="6"/>
      <c r="I749" s="6"/>
      <c r="J749" s="6"/>
      <c r="K749" s="6"/>
      <c r="L749" s="6"/>
      <c r="M749" s="6"/>
      <c r="N749" s="6"/>
      <c r="O749" s="6"/>
      <c r="P749" s="6"/>
      <c r="Q749" s="6"/>
      <c r="R749" s="6"/>
      <c r="S749" s="6"/>
      <c r="T749" s="6"/>
      <c r="U749" s="6"/>
      <c r="V749" s="6"/>
      <c r="W749" s="6"/>
      <c r="X749" s="6"/>
      <c r="Y749" s="6"/>
      <c r="Z749" s="6"/>
    </row>
    <row r="750" ht="18.0" customHeight="1">
      <c r="A750" s="315" t="s">
        <v>2836</v>
      </c>
      <c r="B750" s="312" t="s">
        <v>2837</v>
      </c>
      <c r="C750" s="20"/>
      <c r="D750" s="20"/>
      <c r="E750" s="20"/>
      <c r="F750" s="6"/>
      <c r="G750" s="6"/>
      <c r="H750" s="6"/>
      <c r="I750" s="6"/>
      <c r="J750" s="6"/>
      <c r="K750" s="6"/>
      <c r="L750" s="6"/>
      <c r="M750" s="6"/>
      <c r="N750" s="6"/>
      <c r="O750" s="6"/>
      <c r="P750" s="6"/>
      <c r="Q750" s="6"/>
      <c r="R750" s="6"/>
      <c r="S750" s="6"/>
      <c r="T750" s="6"/>
      <c r="U750" s="6"/>
      <c r="V750" s="6"/>
      <c r="W750" s="6"/>
      <c r="X750" s="6"/>
      <c r="Y750" s="6"/>
      <c r="Z750" s="6"/>
    </row>
    <row r="751" ht="18.0" customHeight="1">
      <c r="A751" s="315" t="s">
        <v>2838</v>
      </c>
      <c r="B751" s="312" t="s">
        <v>2839</v>
      </c>
      <c r="C751" s="20"/>
      <c r="D751" s="20"/>
      <c r="E751" s="20"/>
      <c r="F751" s="6"/>
      <c r="G751" s="6"/>
      <c r="H751" s="6"/>
      <c r="I751" s="6"/>
      <c r="J751" s="6"/>
      <c r="K751" s="6"/>
      <c r="L751" s="6"/>
      <c r="M751" s="6"/>
      <c r="N751" s="6"/>
      <c r="O751" s="6"/>
      <c r="P751" s="6"/>
      <c r="Q751" s="6"/>
      <c r="R751" s="6"/>
      <c r="S751" s="6"/>
      <c r="T751" s="6"/>
      <c r="U751" s="6"/>
      <c r="V751" s="6"/>
      <c r="W751" s="6"/>
      <c r="X751" s="6"/>
      <c r="Y751" s="6"/>
      <c r="Z751" s="6"/>
    </row>
    <row r="752" ht="18.0" customHeight="1">
      <c r="A752" s="315" t="s">
        <v>2840</v>
      </c>
      <c r="B752" s="312" t="s">
        <v>2841</v>
      </c>
      <c r="C752" s="20"/>
      <c r="D752" s="20"/>
      <c r="E752" s="20"/>
      <c r="F752" s="6"/>
      <c r="G752" s="6"/>
      <c r="H752" s="6"/>
      <c r="I752" s="6"/>
      <c r="J752" s="6"/>
      <c r="K752" s="6"/>
      <c r="L752" s="6"/>
      <c r="M752" s="6"/>
      <c r="N752" s="6"/>
      <c r="O752" s="6"/>
      <c r="P752" s="6"/>
      <c r="Q752" s="6"/>
      <c r="R752" s="6"/>
      <c r="S752" s="6"/>
      <c r="T752" s="6"/>
      <c r="U752" s="6"/>
      <c r="V752" s="6"/>
      <c r="W752" s="6"/>
      <c r="X752" s="6"/>
      <c r="Y752" s="6"/>
      <c r="Z752" s="6"/>
    </row>
    <row r="753" ht="18.0" customHeight="1">
      <c r="A753" s="315" t="s">
        <v>2842</v>
      </c>
      <c r="B753" s="312" t="s">
        <v>2843</v>
      </c>
      <c r="C753" s="20"/>
      <c r="D753" s="20"/>
      <c r="E753" s="20"/>
      <c r="F753" s="6"/>
      <c r="G753" s="6"/>
      <c r="H753" s="6"/>
      <c r="I753" s="6"/>
      <c r="J753" s="6"/>
      <c r="K753" s="6"/>
      <c r="L753" s="6"/>
      <c r="M753" s="6"/>
      <c r="N753" s="6"/>
      <c r="O753" s="6"/>
      <c r="P753" s="6"/>
      <c r="Q753" s="6"/>
      <c r="R753" s="6"/>
      <c r="S753" s="6"/>
      <c r="T753" s="6"/>
      <c r="U753" s="6"/>
      <c r="V753" s="6"/>
      <c r="W753" s="6"/>
      <c r="X753" s="6"/>
      <c r="Y753" s="6"/>
      <c r="Z753" s="6"/>
    </row>
    <row r="754" ht="18.0" customHeight="1">
      <c r="A754" s="315" t="s">
        <v>2844</v>
      </c>
      <c r="B754" s="312" t="s">
        <v>2845</v>
      </c>
      <c r="C754" s="20"/>
      <c r="D754" s="20"/>
      <c r="E754" s="20"/>
      <c r="F754" s="6"/>
      <c r="G754" s="6"/>
      <c r="H754" s="6"/>
      <c r="I754" s="6"/>
      <c r="J754" s="6"/>
      <c r="K754" s="6"/>
      <c r="L754" s="6"/>
      <c r="M754" s="6"/>
      <c r="N754" s="6"/>
      <c r="O754" s="6"/>
      <c r="P754" s="6"/>
      <c r="Q754" s="6"/>
      <c r="R754" s="6"/>
      <c r="S754" s="6"/>
      <c r="T754" s="6"/>
      <c r="U754" s="6"/>
      <c r="V754" s="6"/>
      <c r="W754" s="6"/>
      <c r="X754" s="6"/>
      <c r="Y754" s="6"/>
      <c r="Z754" s="6"/>
    </row>
    <row r="755" ht="18.0" customHeight="1">
      <c r="A755" s="315" t="s">
        <v>2846</v>
      </c>
      <c r="B755" s="312" t="s">
        <v>2847</v>
      </c>
      <c r="C755" s="20"/>
      <c r="D755" s="20"/>
      <c r="E755" s="20"/>
      <c r="F755" s="6"/>
      <c r="G755" s="6"/>
      <c r="H755" s="6"/>
      <c r="I755" s="6"/>
      <c r="J755" s="6"/>
      <c r="K755" s="6"/>
      <c r="L755" s="6"/>
      <c r="M755" s="6"/>
      <c r="N755" s="6"/>
      <c r="O755" s="6"/>
      <c r="P755" s="6"/>
      <c r="Q755" s="6"/>
      <c r="R755" s="6"/>
      <c r="S755" s="6"/>
      <c r="T755" s="6"/>
      <c r="U755" s="6"/>
      <c r="V755" s="6"/>
      <c r="W755" s="6"/>
      <c r="X755" s="6"/>
      <c r="Y755" s="6"/>
      <c r="Z755" s="6"/>
    </row>
    <row r="756" ht="18.0" customHeight="1">
      <c r="A756" s="315" t="s">
        <v>2848</v>
      </c>
      <c r="B756" s="312" t="s">
        <v>2849</v>
      </c>
      <c r="C756" s="20"/>
      <c r="D756" s="20"/>
      <c r="E756" s="20"/>
      <c r="F756" s="6"/>
      <c r="G756" s="6"/>
      <c r="H756" s="6"/>
      <c r="I756" s="6"/>
      <c r="J756" s="6"/>
      <c r="K756" s="6"/>
      <c r="L756" s="6"/>
      <c r="M756" s="6"/>
      <c r="N756" s="6"/>
      <c r="O756" s="6"/>
      <c r="P756" s="6"/>
      <c r="Q756" s="6"/>
      <c r="R756" s="6"/>
      <c r="S756" s="6"/>
      <c r="T756" s="6"/>
      <c r="U756" s="6"/>
      <c r="V756" s="6"/>
      <c r="W756" s="6"/>
      <c r="X756" s="6"/>
      <c r="Y756" s="6"/>
      <c r="Z756" s="6"/>
    </row>
    <row r="757" ht="18.0" customHeight="1">
      <c r="A757" s="315" t="s">
        <v>2850</v>
      </c>
      <c r="B757" s="312" t="s">
        <v>2851</v>
      </c>
      <c r="C757" s="20"/>
      <c r="D757" s="20"/>
      <c r="E757" s="20"/>
      <c r="F757" s="6"/>
      <c r="G757" s="6"/>
      <c r="H757" s="6"/>
      <c r="I757" s="6"/>
      <c r="J757" s="6"/>
      <c r="K757" s="6"/>
      <c r="L757" s="6"/>
      <c r="M757" s="6"/>
      <c r="N757" s="6"/>
      <c r="O757" s="6"/>
      <c r="P757" s="6"/>
      <c r="Q757" s="6"/>
      <c r="R757" s="6"/>
      <c r="S757" s="6"/>
      <c r="T757" s="6"/>
      <c r="U757" s="6"/>
      <c r="V757" s="6"/>
      <c r="W757" s="6"/>
      <c r="X757" s="6"/>
      <c r="Y757" s="6"/>
      <c r="Z757" s="6"/>
    </row>
    <row r="758" ht="18.0" customHeight="1">
      <c r="A758" s="315" t="s">
        <v>2852</v>
      </c>
      <c r="B758" s="312" t="s">
        <v>2853</v>
      </c>
      <c r="C758" s="20"/>
      <c r="D758" s="20"/>
      <c r="E758" s="20"/>
      <c r="F758" s="6"/>
      <c r="G758" s="6"/>
      <c r="H758" s="6"/>
      <c r="I758" s="6"/>
      <c r="J758" s="6"/>
      <c r="K758" s="6"/>
      <c r="L758" s="6"/>
      <c r="M758" s="6"/>
      <c r="N758" s="6"/>
      <c r="O758" s="6"/>
      <c r="P758" s="6"/>
      <c r="Q758" s="6"/>
      <c r="R758" s="6"/>
      <c r="S758" s="6"/>
      <c r="T758" s="6"/>
      <c r="U758" s="6"/>
      <c r="V758" s="6"/>
      <c r="W758" s="6"/>
      <c r="X758" s="6"/>
      <c r="Y758" s="6"/>
      <c r="Z758" s="6"/>
    </row>
    <row r="759" ht="18.0" customHeight="1">
      <c r="A759" s="315" t="s">
        <v>2854</v>
      </c>
      <c r="B759" s="312" t="s">
        <v>2855</v>
      </c>
      <c r="C759" s="20"/>
      <c r="D759" s="20"/>
      <c r="E759" s="20"/>
      <c r="F759" s="6"/>
      <c r="G759" s="6"/>
      <c r="H759" s="6"/>
      <c r="I759" s="6"/>
      <c r="J759" s="6"/>
      <c r="K759" s="6"/>
      <c r="L759" s="6"/>
      <c r="M759" s="6"/>
      <c r="N759" s="6"/>
      <c r="O759" s="6"/>
      <c r="P759" s="6"/>
      <c r="Q759" s="6"/>
      <c r="R759" s="6"/>
      <c r="S759" s="6"/>
      <c r="T759" s="6"/>
      <c r="U759" s="6"/>
      <c r="V759" s="6"/>
      <c r="W759" s="6"/>
      <c r="X759" s="6"/>
      <c r="Y759" s="6"/>
      <c r="Z759" s="6"/>
    </row>
    <row r="760" ht="18.0" customHeight="1">
      <c r="A760" s="316">
        <v>6.6</v>
      </c>
      <c r="B760" s="312" t="s">
        <v>2856</v>
      </c>
      <c r="C760" s="20"/>
      <c r="D760" s="20"/>
      <c r="E760" s="20"/>
      <c r="F760" s="6"/>
      <c r="G760" s="6"/>
      <c r="H760" s="6"/>
      <c r="I760" s="6"/>
      <c r="J760" s="6"/>
      <c r="K760" s="6"/>
      <c r="L760" s="6"/>
      <c r="M760" s="6"/>
      <c r="N760" s="6"/>
      <c r="O760" s="6"/>
      <c r="P760" s="6"/>
      <c r="Q760" s="6"/>
      <c r="R760" s="6"/>
      <c r="S760" s="6"/>
      <c r="T760" s="6"/>
      <c r="U760" s="6"/>
      <c r="V760" s="6"/>
      <c r="W760" s="6"/>
      <c r="X760" s="6"/>
      <c r="Y760" s="6"/>
      <c r="Z760" s="6"/>
    </row>
    <row r="761" ht="18.0" customHeight="1">
      <c r="A761" s="316">
        <v>6.7</v>
      </c>
      <c r="B761" s="312" t="s">
        <v>2857</v>
      </c>
      <c r="C761" s="20"/>
      <c r="D761" s="20"/>
      <c r="E761" s="20"/>
      <c r="F761" s="6"/>
      <c r="G761" s="6"/>
      <c r="H761" s="6"/>
      <c r="I761" s="6"/>
      <c r="J761" s="6"/>
      <c r="K761" s="6"/>
      <c r="L761" s="6"/>
      <c r="M761" s="6"/>
      <c r="N761" s="6"/>
      <c r="O761" s="6"/>
      <c r="P761" s="6"/>
      <c r="Q761" s="6"/>
      <c r="R761" s="6"/>
      <c r="S761" s="6"/>
      <c r="T761" s="6"/>
      <c r="U761" s="6"/>
      <c r="V761" s="6"/>
      <c r="W761" s="6"/>
      <c r="X761" s="6"/>
      <c r="Y761" s="6"/>
      <c r="Z761" s="6"/>
    </row>
    <row r="762" ht="18.0" customHeight="1">
      <c r="A762" s="315" t="s">
        <v>854</v>
      </c>
      <c r="B762" s="312" t="s">
        <v>2858</v>
      </c>
      <c r="C762" s="20"/>
      <c r="D762" s="20"/>
      <c r="E762" s="20"/>
      <c r="F762" s="6"/>
      <c r="G762" s="6"/>
      <c r="H762" s="6"/>
      <c r="I762" s="6"/>
      <c r="J762" s="6"/>
      <c r="K762" s="6"/>
      <c r="L762" s="6"/>
      <c r="M762" s="6"/>
      <c r="N762" s="6"/>
      <c r="O762" s="6"/>
      <c r="P762" s="6"/>
      <c r="Q762" s="6"/>
      <c r="R762" s="6"/>
      <c r="S762" s="6"/>
      <c r="T762" s="6"/>
      <c r="U762" s="6"/>
      <c r="V762" s="6"/>
      <c r="W762" s="6"/>
      <c r="X762" s="6"/>
      <c r="Y762" s="6"/>
      <c r="Z762" s="6"/>
    </row>
    <row r="763" ht="18.0" customHeight="1">
      <c r="A763" s="316">
        <v>7.1</v>
      </c>
      <c r="B763" s="312" t="s">
        <v>2859</v>
      </c>
      <c r="C763" s="20"/>
      <c r="D763" s="20"/>
      <c r="E763" s="20"/>
      <c r="F763" s="6"/>
      <c r="G763" s="6"/>
      <c r="H763" s="6"/>
      <c r="I763" s="6"/>
      <c r="J763" s="6"/>
      <c r="K763" s="6"/>
      <c r="L763" s="6"/>
      <c r="M763" s="6"/>
      <c r="N763" s="6"/>
      <c r="O763" s="6"/>
      <c r="P763" s="6"/>
      <c r="Q763" s="6"/>
      <c r="R763" s="6"/>
      <c r="S763" s="6"/>
      <c r="T763" s="6"/>
      <c r="U763" s="6"/>
      <c r="V763" s="6"/>
      <c r="W763" s="6"/>
      <c r="X763" s="6"/>
      <c r="Y763" s="6"/>
      <c r="Z763" s="6"/>
    </row>
    <row r="764" ht="18.0" customHeight="1">
      <c r="A764" s="315" t="s">
        <v>1075</v>
      </c>
      <c r="B764" s="312" t="s">
        <v>2860</v>
      </c>
      <c r="C764" s="20"/>
      <c r="D764" s="20"/>
      <c r="E764" s="20"/>
      <c r="F764" s="6"/>
      <c r="G764" s="6"/>
      <c r="H764" s="6"/>
      <c r="I764" s="6"/>
      <c r="J764" s="6"/>
      <c r="K764" s="6"/>
      <c r="L764" s="6"/>
      <c r="M764" s="6"/>
      <c r="N764" s="6"/>
      <c r="O764" s="6"/>
      <c r="P764" s="6"/>
      <c r="Q764" s="6"/>
      <c r="R764" s="6"/>
      <c r="S764" s="6"/>
      <c r="T764" s="6"/>
      <c r="U764" s="6"/>
      <c r="V764" s="6"/>
      <c r="W764" s="6"/>
      <c r="X764" s="6"/>
      <c r="Y764" s="6"/>
      <c r="Z764" s="6"/>
    </row>
    <row r="765" ht="18.0" customHeight="1">
      <c r="A765" s="315" t="s">
        <v>1080</v>
      </c>
      <c r="B765" s="312" t="s">
        <v>2861</v>
      </c>
      <c r="C765" s="20"/>
      <c r="D765" s="20"/>
      <c r="E765" s="20"/>
      <c r="F765" s="6"/>
      <c r="G765" s="6"/>
      <c r="H765" s="6"/>
      <c r="I765" s="6"/>
      <c r="J765" s="6"/>
      <c r="K765" s="6"/>
      <c r="L765" s="6"/>
      <c r="M765" s="6"/>
      <c r="N765" s="6"/>
      <c r="O765" s="6"/>
      <c r="P765" s="6"/>
      <c r="Q765" s="6"/>
      <c r="R765" s="6"/>
      <c r="S765" s="6"/>
      <c r="T765" s="6"/>
      <c r="U765" s="6"/>
      <c r="V765" s="6"/>
      <c r="W765" s="6"/>
      <c r="X765" s="6"/>
      <c r="Y765" s="6"/>
      <c r="Z765" s="6"/>
    </row>
    <row r="766" ht="18.0" customHeight="1">
      <c r="A766" s="315" t="s">
        <v>1004</v>
      </c>
      <c r="B766" s="312" t="s">
        <v>2862</v>
      </c>
      <c r="C766" s="20"/>
      <c r="D766" s="20"/>
      <c r="E766" s="20"/>
      <c r="F766" s="6"/>
      <c r="G766" s="6"/>
      <c r="H766" s="6"/>
      <c r="I766" s="6"/>
      <c r="J766" s="6"/>
      <c r="K766" s="6"/>
      <c r="L766" s="6"/>
      <c r="M766" s="6"/>
      <c r="N766" s="6"/>
      <c r="O766" s="6"/>
      <c r="P766" s="6"/>
      <c r="Q766" s="6"/>
      <c r="R766" s="6"/>
      <c r="S766" s="6"/>
      <c r="T766" s="6"/>
      <c r="U766" s="6"/>
      <c r="V766" s="6"/>
      <c r="W766" s="6"/>
      <c r="X766" s="6"/>
      <c r="Y766" s="6"/>
      <c r="Z766" s="6"/>
    </row>
    <row r="767" ht="18.0" customHeight="1">
      <c r="A767" s="315" t="s">
        <v>2863</v>
      </c>
      <c r="B767" s="312" t="s">
        <v>2864</v>
      </c>
      <c r="C767" s="20"/>
      <c r="D767" s="20"/>
      <c r="E767" s="20"/>
      <c r="F767" s="6"/>
      <c r="G767" s="6"/>
      <c r="H767" s="6"/>
      <c r="I767" s="6"/>
      <c r="J767" s="6"/>
      <c r="K767" s="6"/>
      <c r="L767" s="6"/>
      <c r="M767" s="6"/>
      <c r="N767" s="6"/>
      <c r="O767" s="6"/>
      <c r="P767" s="6"/>
      <c r="Q767" s="6"/>
      <c r="R767" s="6"/>
      <c r="S767" s="6"/>
      <c r="T767" s="6"/>
      <c r="U767" s="6"/>
      <c r="V767" s="6"/>
      <c r="W767" s="6"/>
      <c r="X767" s="6"/>
      <c r="Y767" s="6"/>
      <c r="Z767" s="6"/>
    </row>
    <row r="768" ht="18.0" customHeight="1">
      <c r="A768" s="316">
        <v>7.2</v>
      </c>
      <c r="B768" s="312" t="s">
        <v>2865</v>
      </c>
      <c r="C768" s="20"/>
      <c r="D768" s="20"/>
      <c r="E768" s="20"/>
      <c r="F768" s="6"/>
      <c r="G768" s="6"/>
      <c r="H768" s="6"/>
      <c r="I768" s="6"/>
      <c r="J768" s="6"/>
      <c r="K768" s="6"/>
      <c r="L768" s="6"/>
      <c r="M768" s="6"/>
      <c r="N768" s="6"/>
      <c r="O768" s="6"/>
      <c r="P768" s="6"/>
      <c r="Q768" s="6"/>
      <c r="R768" s="6"/>
      <c r="S768" s="6"/>
      <c r="T768" s="6"/>
      <c r="U768" s="6"/>
      <c r="V768" s="6"/>
      <c r="W768" s="6"/>
      <c r="X768" s="6"/>
      <c r="Y768" s="6"/>
      <c r="Z768" s="6"/>
    </row>
    <row r="769" ht="18.0" customHeight="1">
      <c r="A769" s="315" t="s">
        <v>1574</v>
      </c>
      <c r="B769" s="312" t="s">
        <v>2866</v>
      </c>
      <c r="C769" s="20"/>
      <c r="D769" s="20"/>
      <c r="E769" s="20"/>
      <c r="F769" s="6"/>
      <c r="G769" s="6"/>
      <c r="H769" s="6"/>
      <c r="I769" s="6"/>
      <c r="J769" s="6"/>
      <c r="K769" s="6"/>
      <c r="L769" s="6"/>
      <c r="M769" s="6"/>
      <c r="N769" s="6"/>
      <c r="O769" s="6"/>
      <c r="P769" s="6"/>
      <c r="Q769" s="6"/>
      <c r="R769" s="6"/>
      <c r="S769" s="6"/>
      <c r="T769" s="6"/>
      <c r="U769" s="6"/>
      <c r="V769" s="6"/>
      <c r="W769" s="6"/>
      <c r="X769" s="6"/>
      <c r="Y769" s="6"/>
      <c r="Z769" s="6"/>
    </row>
    <row r="770" ht="18.0" customHeight="1">
      <c r="A770" s="315" t="s">
        <v>1084</v>
      </c>
      <c r="B770" s="312" t="s">
        <v>2867</v>
      </c>
      <c r="C770" s="20"/>
      <c r="D770" s="20"/>
      <c r="E770" s="20"/>
      <c r="F770" s="6"/>
      <c r="G770" s="6"/>
      <c r="H770" s="6"/>
      <c r="I770" s="6"/>
      <c r="J770" s="6"/>
      <c r="K770" s="6"/>
      <c r="L770" s="6"/>
      <c r="M770" s="6"/>
      <c r="N770" s="6"/>
      <c r="O770" s="6"/>
      <c r="P770" s="6"/>
      <c r="Q770" s="6"/>
      <c r="R770" s="6"/>
      <c r="S770" s="6"/>
      <c r="T770" s="6"/>
      <c r="U770" s="6"/>
      <c r="V770" s="6"/>
      <c r="W770" s="6"/>
      <c r="X770" s="6"/>
      <c r="Y770" s="6"/>
      <c r="Z770" s="6"/>
    </row>
    <row r="771" ht="18.0" customHeight="1">
      <c r="A771" s="315" t="s">
        <v>1577</v>
      </c>
      <c r="B771" s="312" t="s">
        <v>2868</v>
      </c>
      <c r="C771" s="20"/>
      <c r="D771" s="20"/>
      <c r="E771" s="20"/>
      <c r="F771" s="6"/>
      <c r="G771" s="6"/>
      <c r="H771" s="6"/>
      <c r="I771" s="6"/>
      <c r="J771" s="6"/>
      <c r="K771" s="6"/>
      <c r="L771" s="6"/>
      <c r="M771" s="6"/>
      <c r="N771" s="6"/>
      <c r="O771" s="6"/>
      <c r="P771" s="6"/>
      <c r="Q771" s="6"/>
      <c r="R771" s="6"/>
      <c r="S771" s="6"/>
      <c r="T771" s="6"/>
      <c r="U771" s="6"/>
      <c r="V771" s="6"/>
      <c r="W771" s="6"/>
      <c r="X771" s="6"/>
      <c r="Y771" s="6"/>
      <c r="Z771" s="6"/>
    </row>
    <row r="772" ht="18.0" customHeight="1">
      <c r="A772" s="316">
        <v>7.3</v>
      </c>
      <c r="B772" s="312" t="s">
        <v>2869</v>
      </c>
      <c r="C772" s="20"/>
      <c r="D772" s="20"/>
      <c r="E772" s="20"/>
      <c r="F772" s="6"/>
      <c r="G772" s="6"/>
      <c r="H772" s="6"/>
      <c r="I772" s="6"/>
      <c r="J772" s="6"/>
      <c r="K772" s="6"/>
      <c r="L772" s="6"/>
      <c r="M772" s="6"/>
      <c r="N772" s="6"/>
      <c r="O772" s="6"/>
      <c r="P772" s="6"/>
      <c r="Q772" s="6"/>
      <c r="R772" s="6"/>
      <c r="S772" s="6"/>
      <c r="T772" s="6"/>
      <c r="U772" s="6"/>
      <c r="V772" s="6"/>
      <c r="W772" s="6"/>
      <c r="X772" s="6"/>
      <c r="Y772" s="6"/>
      <c r="Z772" s="6"/>
    </row>
    <row r="773" ht="18.0" customHeight="1">
      <c r="A773" s="315" t="s">
        <v>887</v>
      </c>
      <c r="B773" s="312" t="s">
        <v>2870</v>
      </c>
      <c r="C773" s="20"/>
      <c r="D773" s="20"/>
      <c r="E773" s="20"/>
      <c r="F773" s="6"/>
      <c r="G773" s="6"/>
      <c r="H773" s="6"/>
      <c r="I773" s="6"/>
      <c r="J773" s="6"/>
      <c r="K773" s="6"/>
      <c r="L773" s="6"/>
      <c r="M773" s="6"/>
      <c r="N773" s="6"/>
      <c r="O773" s="6"/>
      <c r="P773" s="6"/>
      <c r="Q773" s="6"/>
      <c r="R773" s="6"/>
      <c r="S773" s="6"/>
      <c r="T773" s="6"/>
      <c r="U773" s="6"/>
      <c r="V773" s="6"/>
      <c r="W773" s="6"/>
      <c r="X773" s="6"/>
      <c r="Y773" s="6"/>
      <c r="Z773" s="6"/>
    </row>
    <row r="774" ht="18.0" customHeight="1">
      <c r="A774" s="316">
        <v>8.1</v>
      </c>
      <c r="B774" s="312" t="s">
        <v>2871</v>
      </c>
      <c r="C774" s="20"/>
      <c r="D774" s="20"/>
      <c r="E774" s="20"/>
      <c r="F774" s="6"/>
      <c r="G774" s="6"/>
      <c r="H774" s="6"/>
      <c r="I774" s="6"/>
      <c r="J774" s="6"/>
      <c r="K774" s="6"/>
      <c r="L774" s="6"/>
      <c r="M774" s="6"/>
      <c r="N774" s="6"/>
      <c r="O774" s="6"/>
      <c r="P774" s="6"/>
      <c r="Q774" s="6"/>
      <c r="R774" s="6"/>
      <c r="S774" s="6"/>
      <c r="T774" s="6"/>
      <c r="U774" s="6"/>
      <c r="V774" s="6"/>
      <c r="W774" s="6"/>
      <c r="X774" s="6"/>
      <c r="Y774" s="6"/>
      <c r="Z774" s="6"/>
    </row>
    <row r="775" ht="18.0" customHeight="1">
      <c r="A775" s="315" t="s">
        <v>1581</v>
      </c>
      <c r="B775" s="312" t="s">
        <v>2872</v>
      </c>
      <c r="C775" s="20"/>
      <c r="D775" s="20"/>
      <c r="E775" s="20"/>
      <c r="F775" s="6"/>
      <c r="G775" s="6"/>
      <c r="H775" s="6"/>
      <c r="I775" s="6"/>
      <c r="J775" s="6"/>
      <c r="K775" s="6"/>
      <c r="L775" s="6"/>
      <c r="M775" s="6"/>
      <c r="N775" s="6"/>
      <c r="O775" s="6"/>
      <c r="P775" s="6"/>
      <c r="Q775" s="6"/>
      <c r="R775" s="6"/>
      <c r="S775" s="6"/>
      <c r="T775" s="6"/>
      <c r="U775" s="6"/>
      <c r="V775" s="6"/>
      <c r="W775" s="6"/>
      <c r="X775" s="6"/>
      <c r="Y775" s="6"/>
      <c r="Z775" s="6"/>
    </row>
    <row r="776" ht="18.0" customHeight="1">
      <c r="A776" s="315" t="s">
        <v>961</v>
      </c>
      <c r="B776" s="312" t="s">
        <v>2873</v>
      </c>
      <c r="C776" s="20"/>
      <c r="D776" s="20"/>
      <c r="E776" s="20"/>
      <c r="F776" s="6"/>
      <c r="G776" s="6"/>
      <c r="H776" s="6"/>
      <c r="I776" s="6"/>
      <c r="J776" s="6"/>
      <c r="K776" s="6"/>
      <c r="L776" s="6"/>
      <c r="M776" s="6"/>
      <c r="N776" s="6"/>
      <c r="O776" s="6"/>
      <c r="P776" s="6"/>
      <c r="Q776" s="6"/>
      <c r="R776" s="6"/>
      <c r="S776" s="6"/>
      <c r="T776" s="6"/>
      <c r="U776" s="6"/>
      <c r="V776" s="6"/>
      <c r="W776" s="6"/>
      <c r="X776" s="6"/>
      <c r="Y776" s="6"/>
      <c r="Z776" s="6"/>
    </row>
    <row r="777" ht="18.0" customHeight="1">
      <c r="A777" s="315" t="s">
        <v>1584</v>
      </c>
      <c r="B777" s="312" t="s">
        <v>2874</v>
      </c>
      <c r="C777" s="20"/>
      <c r="D777" s="20"/>
      <c r="E777" s="20"/>
      <c r="F777" s="6"/>
      <c r="G777" s="6"/>
      <c r="H777" s="6"/>
      <c r="I777" s="6"/>
      <c r="J777" s="6"/>
      <c r="K777" s="6"/>
      <c r="L777" s="6"/>
      <c r="M777" s="6"/>
      <c r="N777" s="6"/>
      <c r="O777" s="6"/>
      <c r="P777" s="6"/>
      <c r="Q777" s="6"/>
      <c r="R777" s="6"/>
      <c r="S777" s="6"/>
      <c r="T777" s="6"/>
      <c r="U777" s="6"/>
      <c r="V777" s="6"/>
      <c r="W777" s="6"/>
      <c r="X777" s="6"/>
      <c r="Y777" s="6"/>
      <c r="Z777" s="6"/>
    </row>
    <row r="778" ht="18.0" customHeight="1">
      <c r="A778" s="315" t="s">
        <v>959</v>
      </c>
      <c r="B778" s="312" t="s">
        <v>2875</v>
      </c>
      <c r="C778" s="20"/>
      <c r="D778" s="20"/>
      <c r="E778" s="20"/>
      <c r="F778" s="6"/>
      <c r="G778" s="6"/>
      <c r="H778" s="6"/>
      <c r="I778" s="6"/>
      <c r="J778" s="6"/>
      <c r="K778" s="6"/>
      <c r="L778" s="6"/>
      <c r="M778" s="6"/>
      <c r="N778" s="6"/>
      <c r="O778" s="6"/>
      <c r="P778" s="6"/>
      <c r="Q778" s="6"/>
      <c r="R778" s="6"/>
      <c r="S778" s="6"/>
      <c r="T778" s="6"/>
      <c r="U778" s="6"/>
      <c r="V778" s="6"/>
      <c r="W778" s="6"/>
      <c r="X778" s="6"/>
      <c r="Y778" s="6"/>
      <c r="Z778" s="6"/>
    </row>
    <row r="779" ht="18.0" customHeight="1">
      <c r="A779" s="315" t="s">
        <v>2876</v>
      </c>
      <c r="B779" s="312" t="s">
        <v>2877</v>
      </c>
      <c r="C779" s="20"/>
      <c r="D779" s="20"/>
      <c r="E779" s="20"/>
      <c r="F779" s="6"/>
      <c r="G779" s="6"/>
      <c r="H779" s="6"/>
      <c r="I779" s="6"/>
      <c r="J779" s="6"/>
      <c r="K779" s="6"/>
      <c r="L779" s="6"/>
      <c r="M779" s="6"/>
      <c r="N779" s="6"/>
      <c r="O779" s="6"/>
      <c r="P779" s="6"/>
      <c r="Q779" s="6"/>
      <c r="R779" s="6"/>
      <c r="S779" s="6"/>
      <c r="T779" s="6"/>
      <c r="U779" s="6"/>
      <c r="V779" s="6"/>
      <c r="W779" s="6"/>
      <c r="X779" s="6"/>
      <c r="Y779" s="6"/>
      <c r="Z779" s="6"/>
    </row>
    <row r="780" ht="18.0" customHeight="1">
      <c r="A780" s="315" t="s">
        <v>2878</v>
      </c>
      <c r="B780" s="312" t="s">
        <v>2879</v>
      </c>
      <c r="C780" s="20"/>
      <c r="D780" s="20"/>
      <c r="E780" s="20"/>
      <c r="F780" s="6"/>
      <c r="G780" s="6"/>
      <c r="H780" s="6"/>
      <c r="I780" s="6"/>
      <c r="J780" s="6"/>
      <c r="K780" s="6"/>
      <c r="L780" s="6"/>
      <c r="M780" s="6"/>
      <c r="N780" s="6"/>
      <c r="O780" s="6"/>
      <c r="P780" s="6"/>
      <c r="Q780" s="6"/>
      <c r="R780" s="6"/>
      <c r="S780" s="6"/>
      <c r="T780" s="6"/>
      <c r="U780" s="6"/>
      <c r="V780" s="6"/>
      <c r="W780" s="6"/>
      <c r="X780" s="6"/>
      <c r="Y780" s="6"/>
      <c r="Z780" s="6"/>
    </row>
    <row r="781" ht="18.0" customHeight="1">
      <c r="A781" s="315" t="s">
        <v>2880</v>
      </c>
      <c r="B781" s="312" t="s">
        <v>2881</v>
      </c>
      <c r="C781" s="20"/>
      <c r="D781" s="20"/>
      <c r="E781" s="20"/>
      <c r="F781" s="6"/>
      <c r="G781" s="6"/>
      <c r="H781" s="6"/>
      <c r="I781" s="6"/>
      <c r="J781" s="6"/>
      <c r="K781" s="6"/>
      <c r="L781" s="6"/>
      <c r="M781" s="6"/>
      <c r="N781" s="6"/>
      <c r="O781" s="6"/>
      <c r="P781" s="6"/>
      <c r="Q781" s="6"/>
      <c r="R781" s="6"/>
      <c r="S781" s="6"/>
      <c r="T781" s="6"/>
      <c r="U781" s="6"/>
      <c r="V781" s="6"/>
      <c r="W781" s="6"/>
      <c r="X781" s="6"/>
      <c r="Y781" s="6"/>
      <c r="Z781" s="6"/>
    </row>
    <row r="782" ht="18.0" customHeight="1">
      <c r="A782" s="315" t="s">
        <v>2882</v>
      </c>
      <c r="B782" s="312" t="s">
        <v>2883</v>
      </c>
      <c r="C782" s="20"/>
      <c r="D782" s="20"/>
      <c r="E782" s="20"/>
      <c r="F782" s="6"/>
      <c r="G782" s="6"/>
      <c r="H782" s="6"/>
      <c r="I782" s="6"/>
      <c r="J782" s="6"/>
      <c r="K782" s="6"/>
      <c r="L782" s="6"/>
      <c r="M782" s="6"/>
      <c r="N782" s="6"/>
      <c r="O782" s="6"/>
      <c r="P782" s="6"/>
      <c r="Q782" s="6"/>
      <c r="R782" s="6"/>
      <c r="S782" s="6"/>
      <c r="T782" s="6"/>
      <c r="U782" s="6"/>
      <c r="V782" s="6"/>
      <c r="W782" s="6"/>
      <c r="X782" s="6"/>
      <c r="Y782" s="6"/>
      <c r="Z782" s="6"/>
    </row>
    <row r="783" ht="18.0" customHeight="1">
      <c r="A783" s="316">
        <v>8.2</v>
      </c>
      <c r="B783" s="312" t="s">
        <v>2884</v>
      </c>
      <c r="C783" s="20"/>
      <c r="D783" s="20"/>
      <c r="E783" s="20"/>
      <c r="F783" s="6"/>
      <c r="G783" s="6"/>
      <c r="H783" s="6"/>
      <c r="I783" s="6"/>
      <c r="J783" s="6"/>
      <c r="K783" s="6"/>
      <c r="L783" s="6"/>
      <c r="M783" s="6"/>
      <c r="N783" s="6"/>
      <c r="O783" s="6"/>
      <c r="P783" s="6"/>
      <c r="Q783" s="6"/>
      <c r="R783" s="6"/>
      <c r="S783" s="6"/>
      <c r="T783" s="6"/>
      <c r="U783" s="6"/>
      <c r="V783" s="6"/>
      <c r="W783" s="6"/>
      <c r="X783" s="6"/>
      <c r="Y783" s="6"/>
      <c r="Z783" s="6"/>
    </row>
    <row r="784" ht="18.0" customHeight="1">
      <c r="A784" s="315" t="s">
        <v>1587</v>
      </c>
      <c r="B784" s="312" t="s">
        <v>2885</v>
      </c>
      <c r="C784" s="20"/>
      <c r="D784" s="20"/>
      <c r="E784" s="20"/>
      <c r="F784" s="6"/>
      <c r="G784" s="6"/>
      <c r="H784" s="6"/>
      <c r="I784" s="6"/>
      <c r="J784" s="6"/>
      <c r="K784" s="6"/>
      <c r="L784" s="6"/>
      <c r="M784" s="6"/>
      <c r="N784" s="6"/>
      <c r="O784" s="6"/>
      <c r="P784" s="6"/>
      <c r="Q784" s="6"/>
      <c r="R784" s="6"/>
      <c r="S784" s="6"/>
      <c r="T784" s="6"/>
      <c r="U784" s="6"/>
      <c r="V784" s="6"/>
      <c r="W784" s="6"/>
      <c r="X784" s="6"/>
      <c r="Y784" s="6"/>
      <c r="Z784" s="6"/>
    </row>
    <row r="785" ht="18.0" customHeight="1">
      <c r="A785" s="315" t="s">
        <v>1589</v>
      </c>
      <c r="B785" s="312" t="s">
        <v>2886</v>
      </c>
      <c r="C785" s="20"/>
      <c r="D785" s="20"/>
      <c r="E785" s="20"/>
      <c r="F785" s="6"/>
      <c r="G785" s="6"/>
      <c r="H785" s="6"/>
      <c r="I785" s="6"/>
      <c r="J785" s="6"/>
      <c r="K785" s="6"/>
      <c r="L785" s="6"/>
      <c r="M785" s="6"/>
      <c r="N785" s="6"/>
      <c r="O785" s="6"/>
      <c r="P785" s="6"/>
      <c r="Q785" s="6"/>
      <c r="R785" s="6"/>
      <c r="S785" s="6"/>
      <c r="T785" s="6"/>
      <c r="U785" s="6"/>
      <c r="V785" s="6"/>
      <c r="W785" s="6"/>
      <c r="X785" s="6"/>
      <c r="Y785" s="6"/>
      <c r="Z785" s="6"/>
    </row>
    <row r="786" ht="18.0" customHeight="1">
      <c r="A786" s="315" t="s">
        <v>1025</v>
      </c>
      <c r="B786" s="312" t="s">
        <v>2887</v>
      </c>
      <c r="C786" s="20"/>
      <c r="D786" s="20"/>
      <c r="E786" s="20"/>
      <c r="F786" s="6"/>
      <c r="G786" s="6"/>
      <c r="H786" s="6"/>
      <c r="I786" s="6"/>
      <c r="J786" s="6"/>
      <c r="K786" s="6"/>
      <c r="L786" s="6"/>
      <c r="M786" s="6"/>
      <c r="N786" s="6"/>
      <c r="O786" s="6"/>
      <c r="P786" s="6"/>
      <c r="Q786" s="6"/>
      <c r="R786" s="6"/>
      <c r="S786" s="6"/>
      <c r="T786" s="6"/>
      <c r="U786" s="6"/>
      <c r="V786" s="6"/>
      <c r="W786" s="6"/>
      <c r="X786" s="6"/>
      <c r="Y786" s="6"/>
      <c r="Z786" s="6"/>
    </row>
    <row r="787" ht="18.0" customHeight="1">
      <c r="A787" s="315" t="s">
        <v>2888</v>
      </c>
      <c r="B787" s="312" t="s">
        <v>2889</v>
      </c>
      <c r="C787" s="20"/>
      <c r="D787" s="20"/>
      <c r="E787" s="20"/>
      <c r="F787" s="6"/>
      <c r="G787" s="6"/>
      <c r="H787" s="6"/>
      <c r="I787" s="6"/>
      <c r="J787" s="6"/>
      <c r="K787" s="6"/>
      <c r="L787" s="6"/>
      <c r="M787" s="6"/>
      <c r="N787" s="6"/>
      <c r="O787" s="6"/>
      <c r="P787" s="6"/>
      <c r="Q787" s="6"/>
      <c r="R787" s="6"/>
      <c r="S787" s="6"/>
      <c r="T787" s="6"/>
      <c r="U787" s="6"/>
      <c r="V787" s="6"/>
      <c r="W787" s="6"/>
      <c r="X787" s="6"/>
      <c r="Y787" s="6"/>
      <c r="Z787" s="6"/>
    </row>
    <row r="788" ht="18.0" customHeight="1">
      <c r="A788" s="315" t="s">
        <v>2890</v>
      </c>
      <c r="B788" s="312" t="s">
        <v>2891</v>
      </c>
      <c r="C788" s="20"/>
      <c r="D788" s="20"/>
      <c r="E788" s="20"/>
      <c r="F788" s="6"/>
      <c r="G788" s="6"/>
      <c r="H788" s="6"/>
      <c r="I788" s="6"/>
      <c r="J788" s="6"/>
      <c r="K788" s="6"/>
      <c r="L788" s="6"/>
      <c r="M788" s="6"/>
      <c r="N788" s="6"/>
      <c r="O788" s="6"/>
      <c r="P788" s="6"/>
      <c r="Q788" s="6"/>
      <c r="R788" s="6"/>
      <c r="S788" s="6"/>
      <c r="T788" s="6"/>
      <c r="U788" s="6"/>
      <c r="V788" s="6"/>
      <c r="W788" s="6"/>
      <c r="X788" s="6"/>
      <c r="Y788" s="6"/>
      <c r="Z788" s="6"/>
    </row>
    <row r="789" ht="18.0" customHeight="1">
      <c r="A789" s="315" t="s">
        <v>2892</v>
      </c>
      <c r="B789" s="312" t="s">
        <v>2893</v>
      </c>
      <c r="C789" s="20"/>
      <c r="D789" s="20"/>
      <c r="E789" s="20"/>
      <c r="F789" s="6"/>
      <c r="G789" s="6"/>
      <c r="H789" s="6"/>
      <c r="I789" s="6"/>
      <c r="J789" s="6"/>
      <c r="K789" s="6"/>
      <c r="L789" s="6"/>
      <c r="M789" s="6"/>
      <c r="N789" s="6"/>
      <c r="O789" s="6"/>
      <c r="P789" s="6"/>
      <c r="Q789" s="6"/>
      <c r="R789" s="6"/>
      <c r="S789" s="6"/>
      <c r="T789" s="6"/>
      <c r="U789" s="6"/>
      <c r="V789" s="6"/>
      <c r="W789" s="6"/>
      <c r="X789" s="6"/>
      <c r="Y789" s="6"/>
      <c r="Z789" s="6"/>
    </row>
    <row r="790" ht="18.0" customHeight="1">
      <c r="A790" s="316">
        <v>8.3</v>
      </c>
      <c r="B790" s="312" t="s">
        <v>2894</v>
      </c>
      <c r="C790" s="20"/>
      <c r="D790" s="20"/>
      <c r="E790" s="20"/>
      <c r="F790" s="6"/>
      <c r="G790" s="6"/>
      <c r="H790" s="6"/>
      <c r="I790" s="6"/>
      <c r="J790" s="6"/>
      <c r="K790" s="6"/>
      <c r="L790" s="6"/>
      <c r="M790" s="6"/>
      <c r="N790" s="6"/>
      <c r="O790" s="6"/>
      <c r="P790" s="6"/>
      <c r="Q790" s="6"/>
      <c r="R790" s="6"/>
      <c r="S790" s="6"/>
      <c r="T790" s="6"/>
      <c r="U790" s="6"/>
      <c r="V790" s="6"/>
      <c r="W790" s="6"/>
      <c r="X790" s="6"/>
      <c r="Y790" s="6"/>
      <c r="Z790" s="6"/>
    </row>
    <row r="791" ht="18.0" customHeight="1">
      <c r="A791" s="315" t="s">
        <v>975</v>
      </c>
      <c r="B791" s="312" t="s">
        <v>2895</v>
      </c>
      <c r="C791" s="20"/>
      <c r="D791" s="20"/>
      <c r="E791" s="20"/>
      <c r="F791" s="6"/>
      <c r="G791" s="6"/>
      <c r="H791" s="6"/>
      <c r="I791" s="6"/>
      <c r="J791" s="6"/>
      <c r="K791" s="6"/>
      <c r="L791" s="6"/>
      <c r="M791" s="6"/>
      <c r="N791" s="6"/>
      <c r="O791" s="6"/>
      <c r="P791" s="6"/>
      <c r="Q791" s="6"/>
      <c r="R791" s="6"/>
      <c r="S791" s="6"/>
      <c r="T791" s="6"/>
      <c r="U791" s="6"/>
      <c r="V791" s="6"/>
      <c r="W791" s="6"/>
      <c r="X791" s="6"/>
      <c r="Y791" s="6"/>
      <c r="Z791" s="6"/>
    </row>
    <row r="792" ht="18.0" customHeight="1">
      <c r="A792" s="315" t="s">
        <v>1593</v>
      </c>
      <c r="B792" s="312" t="s">
        <v>2896</v>
      </c>
      <c r="C792" s="20"/>
      <c r="D792" s="20"/>
      <c r="E792" s="20"/>
      <c r="F792" s="6"/>
      <c r="G792" s="6"/>
      <c r="H792" s="6"/>
      <c r="I792" s="6"/>
      <c r="J792" s="6"/>
      <c r="K792" s="6"/>
      <c r="L792" s="6"/>
      <c r="M792" s="6"/>
      <c r="N792" s="6"/>
      <c r="O792" s="6"/>
      <c r="P792" s="6"/>
      <c r="Q792" s="6"/>
      <c r="R792" s="6"/>
      <c r="S792" s="6"/>
      <c r="T792" s="6"/>
      <c r="U792" s="6"/>
      <c r="V792" s="6"/>
      <c r="W792" s="6"/>
      <c r="X792" s="6"/>
      <c r="Y792" s="6"/>
      <c r="Z792" s="6"/>
    </row>
    <row r="793" ht="18.0" customHeight="1">
      <c r="A793" s="316">
        <v>8.4</v>
      </c>
      <c r="B793" s="312" t="s">
        <v>2897</v>
      </c>
      <c r="C793" s="20"/>
      <c r="D793" s="20"/>
      <c r="E793" s="20"/>
      <c r="F793" s="6"/>
      <c r="G793" s="6"/>
      <c r="H793" s="6"/>
      <c r="I793" s="6"/>
      <c r="J793" s="6"/>
      <c r="K793" s="6"/>
      <c r="L793" s="6"/>
      <c r="M793" s="6"/>
      <c r="N793" s="6"/>
      <c r="O793" s="6"/>
      <c r="P793" s="6"/>
      <c r="Q793" s="6"/>
      <c r="R793" s="6"/>
      <c r="S793" s="6"/>
      <c r="T793" s="6"/>
      <c r="U793" s="6"/>
      <c r="V793" s="6"/>
      <c r="W793" s="6"/>
      <c r="X793" s="6"/>
      <c r="Y793" s="6"/>
      <c r="Z793" s="6"/>
    </row>
    <row r="794" ht="18.0" customHeight="1">
      <c r="A794" s="316">
        <v>8.5</v>
      </c>
      <c r="B794" s="312" t="s">
        <v>2898</v>
      </c>
      <c r="C794" s="20"/>
      <c r="D794" s="20"/>
      <c r="E794" s="20"/>
      <c r="F794" s="6"/>
      <c r="G794" s="6"/>
      <c r="H794" s="6"/>
      <c r="I794" s="6"/>
      <c r="J794" s="6"/>
      <c r="K794" s="6"/>
      <c r="L794" s="6"/>
      <c r="M794" s="6"/>
      <c r="N794" s="6"/>
      <c r="O794" s="6"/>
      <c r="P794" s="6"/>
      <c r="Q794" s="6"/>
      <c r="R794" s="6"/>
      <c r="S794" s="6"/>
      <c r="T794" s="6"/>
      <c r="U794" s="6"/>
      <c r="V794" s="6"/>
      <c r="W794" s="6"/>
      <c r="X794" s="6"/>
      <c r="Y794" s="6"/>
      <c r="Z794" s="6"/>
    </row>
    <row r="795" ht="18.0" customHeight="1">
      <c r="A795" s="315" t="s">
        <v>2899</v>
      </c>
      <c r="B795" s="312" t="s">
        <v>2900</v>
      </c>
      <c r="C795" s="20"/>
      <c r="D795" s="20"/>
      <c r="E795" s="20"/>
      <c r="F795" s="6"/>
      <c r="G795" s="6"/>
      <c r="H795" s="6"/>
      <c r="I795" s="6"/>
      <c r="J795" s="6"/>
      <c r="K795" s="6"/>
      <c r="L795" s="6"/>
      <c r="M795" s="6"/>
      <c r="N795" s="6"/>
      <c r="O795" s="6"/>
      <c r="P795" s="6"/>
      <c r="Q795" s="6"/>
      <c r="R795" s="6"/>
      <c r="S795" s="6"/>
      <c r="T795" s="6"/>
      <c r="U795" s="6"/>
      <c r="V795" s="6"/>
      <c r="W795" s="6"/>
      <c r="X795" s="6"/>
      <c r="Y795" s="6"/>
      <c r="Z795" s="6"/>
    </row>
    <row r="796" ht="18.0" customHeight="1">
      <c r="A796" s="316">
        <v>8.6</v>
      </c>
      <c r="B796" s="312" t="s">
        <v>2901</v>
      </c>
      <c r="C796" s="20"/>
      <c r="D796" s="20"/>
      <c r="E796" s="20"/>
      <c r="F796" s="6"/>
      <c r="G796" s="6"/>
      <c r="H796" s="6"/>
      <c r="I796" s="6"/>
      <c r="J796" s="6"/>
      <c r="K796" s="6"/>
      <c r="L796" s="6"/>
      <c r="M796" s="6"/>
      <c r="N796" s="6"/>
      <c r="O796" s="6"/>
      <c r="P796" s="6"/>
      <c r="Q796" s="6"/>
      <c r="R796" s="6"/>
      <c r="S796" s="6"/>
      <c r="T796" s="6"/>
      <c r="U796" s="6"/>
      <c r="V796" s="6"/>
      <c r="W796" s="6"/>
      <c r="X796" s="6"/>
      <c r="Y796" s="6"/>
      <c r="Z796" s="6"/>
    </row>
    <row r="797" ht="18.0" customHeight="1">
      <c r="A797" s="316">
        <v>8.7</v>
      </c>
      <c r="B797" s="312" t="s">
        <v>2902</v>
      </c>
      <c r="C797" s="20"/>
      <c r="D797" s="20"/>
      <c r="E797" s="20"/>
      <c r="F797" s="6"/>
      <c r="G797" s="6"/>
      <c r="H797" s="6"/>
      <c r="I797" s="6"/>
      <c r="J797" s="6"/>
      <c r="K797" s="6"/>
      <c r="L797" s="6"/>
      <c r="M797" s="6"/>
      <c r="N797" s="6"/>
      <c r="O797" s="6"/>
      <c r="P797" s="6"/>
      <c r="Q797" s="6"/>
      <c r="R797" s="6"/>
      <c r="S797" s="6"/>
      <c r="T797" s="6"/>
      <c r="U797" s="6"/>
      <c r="V797" s="6"/>
      <c r="W797" s="6"/>
      <c r="X797" s="6"/>
      <c r="Y797" s="6"/>
      <c r="Z797" s="6"/>
    </row>
    <row r="798" ht="18.0" customHeight="1">
      <c r="A798" s="316">
        <v>8.8</v>
      </c>
      <c r="B798" s="312" t="s">
        <v>2903</v>
      </c>
      <c r="C798" s="20"/>
      <c r="D798" s="20"/>
      <c r="E798" s="20"/>
      <c r="F798" s="6"/>
      <c r="G798" s="6"/>
      <c r="H798" s="6"/>
      <c r="I798" s="6"/>
      <c r="J798" s="6"/>
      <c r="K798" s="6"/>
      <c r="L798" s="6"/>
      <c r="M798" s="6"/>
      <c r="N798" s="6"/>
      <c r="O798" s="6"/>
      <c r="P798" s="6"/>
      <c r="Q798" s="6"/>
      <c r="R798" s="6"/>
      <c r="S798" s="6"/>
      <c r="T798" s="6"/>
      <c r="U798" s="6"/>
      <c r="V798" s="6"/>
      <c r="W798" s="6"/>
      <c r="X798" s="6"/>
      <c r="Y798" s="6"/>
      <c r="Z798" s="6"/>
    </row>
    <row r="799" ht="18.0" customHeight="1">
      <c r="A799" s="315" t="s">
        <v>966</v>
      </c>
      <c r="B799" s="312" t="s">
        <v>2904</v>
      </c>
      <c r="C799" s="20"/>
      <c r="D799" s="20"/>
      <c r="E799" s="20"/>
      <c r="F799" s="6"/>
      <c r="G799" s="6"/>
      <c r="H799" s="6"/>
      <c r="I799" s="6"/>
      <c r="J799" s="6"/>
      <c r="K799" s="6"/>
      <c r="L799" s="6"/>
      <c r="M799" s="6"/>
      <c r="N799" s="6"/>
      <c r="O799" s="6"/>
      <c r="P799" s="6"/>
      <c r="Q799" s="6"/>
      <c r="R799" s="6"/>
      <c r="S799" s="6"/>
      <c r="T799" s="6"/>
      <c r="U799" s="6"/>
      <c r="V799" s="6"/>
      <c r="W799" s="6"/>
      <c r="X799" s="6"/>
      <c r="Y799" s="6"/>
      <c r="Z799" s="6"/>
    </row>
    <row r="800" ht="18.0" customHeight="1">
      <c r="A800" s="316">
        <v>9.1</v>
      </c>
      <c r="B800" s="312" t="s">
        <v>2905</v>
      </c>
      <c r="C800" s="20"/>
      <c r="D800" s="20"/>
      <c r="E800" s="20"/>
      <c r="F800" s="6"/>
      <c r="G800" s="6"/>
      <c r="H800" s="6"/>
      <c r="I800" s="6"/>
      <c r="J800" s="6"/>
      <c r="K800" s="6"/>
      <c r="L800" s="6"/>
      <c r="M800" s="6"/>
      <c r="N800" s="6"/>
      <c r="O800" s="6"/>
      <c r="P800" s="6"/>
      <c r="Q800" s="6"/>
      <c r="R800" s="6"/>
      <c r="S800" s="6"/>
      <c r="T800" s="6"/>
      <c r="U800" s="6"/>
      <c r="V800" s="6"/>
      <c r="W800" s="6"/>
      <c r="X800" s="6"/>
      <c r="Y800" s="6"/>
      <c r="Z800" s="6"/>
    </row>
    <row r="801" ht="18.0" customHeight="1">
      <c r="A801" s="315" t="s">
        <v>856</v>
      </c>
      <c r="B801" s="312" t="s">
        <v>2906</v>
      </c>
      <c r="C801" s="20"/>
      <c r="D801" s="20"/>
      <c r="E801" s="20"/>
      <c r="F801" s="6"/>
      <c r="G801" s="6"/>
      <c r="H801" s="6"/>
      <c r="I801" s="6"/>
      <c r="J801" s="6"/>
      <c r="K801" s="6"/>
      <c r="L801" s="6"/>
      <c r="M801" s="6"/>
      <c r="N801" s="6"/>
      <c r="O801" s="6"/>
      <c r="P801" s="6"/>
      <c r="Q801" s="6"/>
      <c r="R801" s="6"/>
      <c r="S801" s="6"/>
      <c r="T801" s="6"/>
      <c r="U801" s="6"/>
      <c r="V801" s="6"/>
      <c r="W801" s="6"/>
      <c r="X801" s="6"/>
      <c r="Y801" s="6"/>
      <c r="Z801" s="6"/>
    </row>
    <row r="802" ht="18.0" customHeight="1">
      <c r="A802" s="315" t="s">
        <v>840</v>
      </c>
      <c r="B802" s="312" t="s">
        <v>2907</v>
      </c>
      <c r="C802" s="20"/>
      <c r="D802" s="20"/>
      <c r="E802" s="20"/>
      <c r="F802" s="6"/>
      <c r="G802" s="6"/>
      <c r="H802" s="6"/>
      <c r="I802" s="6"/>
      <c r="J802" s="6"/>
      <c r="K802" s="6"/>
      <c r="L802" s="6"/>
      <c r="M802" s="6"/>
      <c r="N802" s="6"/>
      <c r="O802" s="6"/>
      <c r="P802" s="6"/>
      <c r="Q802" s="6"/>
      <c r="R802" s="6"/>
      <c r="S802" s="6"/>
      <c r="T802" s="6"/>
      <c r="U802" s="6"/>
      <c r="V802" s="6"/>
      <c r="W802" s="6"/>
      <c r="X802" s="6"/>
      <c r="Y802" s="6"/>
      <c r="Z802" s="6"/>
    </row>
    <row r="803" ht="18.0" customHeight="1">
      <c r="A803" s="315" t="s">
        <v>2908</v>
      </c>
      <c r="B803" s="312" t="s">
        <v>2909</v>
      </c>
      <c r="C803" s="20"/>
      <c r="D803" s="20"/>
      <c r="E803" s="20"/>
      <c r="F803" s="6"/>
      <c r="G803" s="6"/>
      <c r="H803" s="6"/>
      <c r="I803" s="6"/>
      <c r="J803" s="6"/>
      <c r="K803" s="6"/>
      <c r="L803" s="6"/>
      <c r="M803" s="6"/>
      <c r="N803" s="6"/>
      <c r="O803" s="6"/>
      <c r="P803" s="6"/>
      <c r="Q803" s="6"/>
      <c r="R803" s="6"/>
      <c r="S803" s="6"/>
      <c r="T803" s="6"/>
      <c r="U803" s="6"/>
      <c r="V803" s="6"/>
      <c r="W803" s="6"/>
      <c r="X803" s="6"/>
      <c r="Y803" s="6"/>
      <c r="Z803" s="6"/>
    </row>
    <row r="804" ht="18.0" customHeight="1">
      <c r="A804" s="316">
        <v>9.2</v>
      </c>
      <c r="B804" s="312" t="s">
        <v>2910</v>
      </c>
      <c r="C804" s="20"/>
      <c r="D804" s="20"/>
      <c r="E804" s="20"/>
      <c r="F804" s="6"/>
      <c r="G804" s="6"/>
      <c r="H804" s="6"/>
      <c r="I804" s="6"/>
      <c r="J804" s="6"/>
      <c r="K804" s="6"/>
      <c r="L804" s="6"/>
      <c r="M804" s="6"/>
      <c r="N804" s="6"/>
      <c r="O804" s="6"/>
      <c r="P804" s="6"/>
      <c r="Q804" s="6"/>
      <c r="R804" s="6"/>
      <c r="S804" s="6"/>
      <c r="T804" s="6"/>
      <c r="U804" s="6"/>
      <c r="V804" s="6"/>
      <c r="W804" s="6"/>
      <c r="X804" s="6"/>
      <c r="Y804" s="6"/>
      <c r="Z804" s="6"/>
    </row>
    <row r="805" ht="18.0" customHeight="1">
      <c r="A805" s="316">
        <v>9.3</v>
      </c>
      <c r="B805" s="312" t="s">
        <v>2911</v>
      </c>
      <c r="C805" s="20"/>
      <c r="D805" s="20"/>
      <c r="E805" s="20"/>
      <c r="F805" s="6"/>
      <c r="G805" s="6"/>
      <c r="H805" s="6"/>
      <c r="I805" s="6"/>
      <c r="J805" s="6"/>
      <c r="K805" s="6"/>
      <c r="L805" s="6"/>
      <c r="M805" s="6"/>
      <c r="N805" s="6"/>
      <c r="O805" s="6"/>
      <c r="P805" s="6"/>
      <c r="Q805" s="6"/>
      <c r="R805" s="6"/>
      <c r="S805" s="6"/>
      <c r="T805" s="6"/>
      <c r="U805" s="6"/>
      <c r="V805" s="6"/>
      <c r="W805" s="6"/>
      <c r="X805" s="6"/>
      <c r="Y805" s="6"/>
      <c r="Z805" s="6"/>
    </row>
    <row r="806" ht="18.0" customHeight="1">
      <c r="A806" s="316">
        <v>9.4</v>
      </c>
      <c r="B806" s="312" t="s">
        <v>2912</v>
      </c>
      <c r="C806" s="20"/>
      <c r="D806" s="20"/>
      <c r="E806" s="20"/>
      <c r="F806" s="6"/>
      <c r="G806" s="6"/>
      <c r="H806" s="6"/>
      <c r="I806" s="6"/>
      <c r="J806" s="6"/>
      <c r="K806" s="6"/>
      <c r="L806" s="6"/>
      <c r="M806" s="6"/>
      <c r="N806" s="6"/>
      <c r="O806" s="6"/>
      <c r="P806" s="6"/>
      <c r="Q806" s="6"/>
      <c r="R806" s="6"/>
      <c r="S806" s="6"/>
      <c r="T806" s="6"/>
      <c r="U806" s="6"/>
      <c r="V806" s="6"/>
      <c r="W806" s="6"/>
      <c r="X806" s="6"/>
      <c r="Y806" s="6"/>
      <c r="Z806" s="6"/>
    </row>
    <row r="807" ht="18.0" customHeight="1">
      <c r="A807" s="315" t="s">
        <v>1610</v>
      </c>
      <c r="B807" s="312" t="s">
        <v>2913</v>
      </c>
      <c r="C807" s="20"/>
      <c r="D807" s="20"/>
      <c r="E807" s="20"/>
      <c r="F807" s="6"/>
      <c r="G807" s="6"/>
      <c r="H807" s="6"/>
      <c r="I807" s="6"/>
      <c r="J807" s="6"/>
      <c r="K807" s="6"/>
      <c r="L807" s="6"/>
      <c r="M807" s="6"/>
      <c r="N807" s="6"/>
      <c r="O807" s="6"/>
      <c r="P807" s="6"/>
      <c r="Q807" s="6"/>
      <c r="R807" s="6"/>
      <c r="S807" s="6"/>
      <c r="T807" s="6"/>
      <c r="U807" s="6"/>
      <c r="V807" s="6"/>
      <c r="W807" s="6"/>
      <c r="X807" s="6"/>
      <c r="Y807" s="6"/>
      <c r="Z807" s="6"/>
    </row>
    <row r="808" ht="18.0" customHeight="1">
      <c r="A808" s="315" t="s">
        <v>1029</v>
      </c>
      <c r="B808" s="312" t="s">
        <v>2914</v>
      </c>
      <c r="C808" s="20"/>
      <c r="D808" s="20"/>
      <c r="E808" s="20"/>
      <c r="F808" s="6"/>
      <c r="G808" s="6"/>
      <c r="H808" s="6"/>
      <c r="I808" s="6"/>
      <c r="J808" s="6"/>
      <c r="K808" s="6"/>
      <c r="L808" s="6"/>
      <c r="M808" s="6"/>
      <c r="N808" s="6"/>
      <c r="O808" s="6"/>
      <c r="P808" s="6"/>
      <c r="Q808" s="6"/>
      <c r="R808" s="6"/>
      <c r="S808" s="6"/>
      <c r="T808" s="6"/>
      <c r="U808" s="6"/>
      <c r="V808" s="6"/>
      <c r="W808" s="6"/>
      <c r="X808" s="6"/>
      <c r="Y808" s="6"/>
      <c r="Z808" s="6"/>
    </row>
    <row r="809" ht="18.0" customHeight="1">
      <c r="A809" s="315" t="s">
        <v>898</v>
      </c>
      <c r="B809" s="312" t="s">
        <v>2915</v>
      </c>
      <c r="C809" s="20"/>
      <c r="D809" s="20"/>
      <c r="E809" s="20"/>
      <c r="F809" s="6"/>
      <c r="G809" s="6"/>
      <c r="H809" s="6"/>
      <c r="I809" s="6"/>
      <c r="J809" s="6"/>
      <c r="K809" s="6"/>
      <c r="L809" s="6"/>
      <c r="M809" s="6"/>
      <c r="N809" s="6"/>
      <c r="O809" s="6"/>
      <c r="P809" s="6"/>
      <c r="Q809" s="6"/>
      <c r="R809" s="6"/>
      <c r="S809" s="6"/>
      <c r="T809" s="6"/>
      <c r="U809" s="6"/>
      <c r="V809" s="6"/>
      <c r="W809" s="6"/>
      <c r="X809" s="6"/>
      <c r="Y809" s="6"/>
      <c r="Z809" s="6"/>
    </row>
    <row r="810" ht="18.0" customHeight="1">
      <c r="A810" s="315" t="s">
        <v>1614</v>
      </c>
      <c r="B810" s="312" t="s">
        <v>2916</v>
      </c>
      <c r="C810" s="20"/>
      <c r="D810" s="20"/>
      <c r="E810" s="20"/>
      <c r="F810" s="6"/>
      <c r="G810" s="6"/>
      <c r="H810" s="6"/>
      <c r="I810" s="6"/>
      <c r="J810" s="6"/>
      <c r="K810" s="6"/>
      <c r="L810" s="6"/>
      <c r="M810" s="6"/>
      <c r="N810" s="6"/>
      <c r="O810" s="6"/>
      <c r="P810" s="6"/>
      <c r="Q810" s="6"/>
      <c r="R810" s="6"/>
      <c r="S810" s="6"/>
      <c r="T810" s="6"/>
      <c r="U810" s="6"/>
      <c r="V810" s="6"/>
      <c r="W810" s="6"/>
      <c r="X810" s="6"/>
      <c r="Y810" s="6"/>
      <c r="Z810" s="6"/>
    </row>
    <row r="811" ht="18.0" customHeight="1">
      <c r="A811" s="316">
        <v>9.5</v>
      </c>
      <c r="B811" s="312" t="s">
        <v>2917</v>
      </c>
      <c r="C811" s="20"/>
      <c r="D811" s="20"/>
      <c r="E811" s="20"/>
      <c r="F811" s="6"/>
      <c r="G811" s="6"/>
      <c r="H811" s="6"/>
      <c r="I811" s="6"/>
      <c r="J811" s="6"/>
      <c r="K811" s="6"/>
      <c r="L811" s="6"/>
      <c r="M811" s="6"/>
      <c r="N811" s="6"/>
      <c r="O811" s="6"/>
      <c r="P811" s="6"/>
      <c r="Q811" s="6"/>
      <c r="R811" s="6"/>
      <c r="S811" s="6"/>
      <c r="T811" s="6"/>
      <c r="U811" s="6"/>
      <c r="V811" s="6"/>
      <c r="W811" s="6"/>
      <c r="X811" s="6"/>
      <c r="Y811" s="6"/>
      <c r="Z811" s="6"/>
    </row>
    <row r="812" ht="18.0" customHeight="1">
      <c r="A812" s="315" t="s">
        <v>2918</v>
      </c>
      <c r="B812" s="312" t="s">
        <v>2919</v>
      </c>
      <c r="C812" s="20"/>
      <c r="D812" s="20"/>
      <c r="E812" s="20"/>
      <c r="F812" s="6"/>
      <c r="G812" s="6"/>
      <c r="H812" s="6"/>
      <c r="I812" s="6"/>
      <c r="J812" s="6"/>
      <c r="K812" s="6"/>
      <c r="L812" s="6"/>
      <c r="M812" s="6"/>
      <c r="N812" s="6"/>
      <c r="O812" s="6"/>
      <c r="P812" s="6"/>
      <c r="Q812" s="6"/>
      <c r="R812" s="6"/>
      <c r="S812" s="6"/>
      <c r="T812" s="6"/>
      <c r="U812" s="6"/>
      <c r="V812" s="6"/>
      <c r="W812" s="6"/>
      <c r="X812" s="6"/>
      <c r="Y812" s="6"/>
      <c r="Z812" s="6"/>
    </row>
    <row r="813" ht="18.0" customHeight="1">
      <c r="A813" s="316">
        <v>9.6</v>
      </c>
      <c r="B813" s="312" t="s">
        <v>2920</v>
      </c>
      <c r="C813" s="20"/>
      <c r="D813" s="20"/>
      <c r="E813" s="20"/>
      <c r="F813" s="6"/>
      <c r="G813" s="6"/>
      <c r="H813" s="6"/>
      <c r="I813" s="6"/>
      <c r="J813" s="6"/>
      <c r="K813" s="6"/>
      <c r="L813" s="6"/>
      <c r="M813" s="6"/>
      <c r="N813" s="6"/>
      <c r="O813" s="6"/>
      <c r="P813" s="6"/>
      <c r="Q813" s="6"/>
      <c r="R813" s="6"/>
      <c r="S813" s="6"/>
      <c r="T813" s="6"/>
      <c r="U813" s="6"/>
      <c r="V813" s="6"/>
      <c r="W813" s="6"/>
      <c r="X813" s="6"/>
      <c r="Y813" s="6"/>
      <c r="Z813" s="6"/>
    </row>
    <row r="814" ht="18.0" customHeight="1">
      <c r="A814" s="315" t="s">
        <v>2921</v>
      </c>
      <c r="B814" s="312" t="s">
        <v>2922</v>
      </c>
      <c r="C814" s="20"/>
      <c r="D814" s="20"/>
      <c r="E814" s="20"/>
      <c r="F814" s="6"/>
      <c r="G814" s="6"/>
      <c r="H814" s="6"/>
      <c r="I814" s="6"/>
      <c r="J814" s="6"/>
      <c r="K814" s="6"/>
      <c r="L814" s="6"/>
      <c r="M814" s="6"/>
      <c r="N814" s="6"/>
      <c r="O814" s="6"/>
      <c r="P814" s="6"/>
      <c r="Q814" s="6"/>
      <c r="R814" s="6"/>
      <c r="S814" s="6"/>
      <c r="T814" s="6"/>
      <c r="U814" s="6"/>
      <c r="V814" s="6"/>
      <c r="W814" s="6"/>
      <c r="X814" s="6"/>
      <c r="Y814" s="6"/>
      <c r="Z814" s="6"/>
    </row>
    <row r="815" ht="18.0" customHeight="1">
      <c r="A815" s="315" t="s">
        <v>2923</v>
      </c>
      <c r="B815" s="312" t="s">
        <v>2924</v>
      </c>
      <c r="C815" s="20"/>
      <c r="D815" s="20"/>
      <c r="E815" s="20"/>
      <c r="F815" s="6"/>
      <c r="G815" s="6"/>
      <c r="H815" s="6"/>
      <c r="I815" s="6"/>
      <c r="J815" s="6"/>
      <c r="K815" s="6"/>
      <c r="L815" s="6"/>
      <c r="M815" s="6"/>
      <c r="N815" s="6"/>
      <c r="O815" s="6"/>
      <c r="P815" s="6"/>
      <c r="Q815" s="6"/>
      <c r="R815" s="6"/>
      <c r="S815" s="6"/>
      <c r="T815" s="6"/>
      <c r="U815" s="6"/>
      <c r="V815" s="6"/>
      <c r="W815" s="6"/>
      <c r="X815" s="6"/>
      <c r="Y815" s="6"/>
      <c r="Z815" s="6"/>
    </row>
    <row r="816" ht="18.0" customHeight="1">
      <c r="A816" s="315" t="s">
        <v>2925</v>
      </c>
      <c r="B816" s="312" t="s">
        <v>2926</v>
      </c>
      <c r="C816" s="20"/>
      <c r="D816" s="20"/>
      <c r="E816" s="20"/>
      <c r="F816" s="6"/>
      <c r="G816" s="6"/>
      <c r="H816" s="6"/>
      <c r="I816" s="6"/>
      <c r="J816" s="6"/>
      <c r="K816" s="6"/>
      <c r="L816" s="6"/>
      <c r="M816" s="6"/>
      <c r="N816" s="6"/>
      <c r="O816" s="6"/>
      <c r="P816" s="6"/>
      <c r="Q816" s="6"/>
      <c r="R816" s="6"/>
      <c r="S816" s="6"/>
      <c r="T816" s="6"/>
      <c r="U816" s="6"/>
      <c r="V816" s="6"/>
      <c r="W816" s="6"/>
      <c r="X816" s="6"/>
      <c r="Y816" s="6"/>
      <c r="Z816" s="6"/>
    </row>
    <row r="817" ht="18.0" customHeight="1">
      <c r="A817" s="316">
        <v>9.7</v>
      </c>
      <c r="B817" s="312" t="s">
        <v>2927</v>
      </c>
      <c r="C817" s="20"/>
      <c r="D817" s="20"/>
      <c r="E817" s="20"/>
      <c r="F817" s="6"/>
      <c r="G817" s="6"/>
      <c r="H817" s="6"/>
      <c r="I817" s="6"/>
      <c r="J817" s="6"/>
      <c r="K817" s="6"/>
      <c r="L817" s="6"/>
      <c r="M817" s="6"/>
      <c r="N817" s="6"/>
      <c r="O817" s="6"/>
      <c r="P817" s="6"/>
      <c r="Q817" s="6"/>
      <c r="R817" s="6"/>
      <c r="S817" s="6"/>
      <c r="T817" s="6"/>
      <c r="U817" s="6"/>
      <c r="V817" s="6"/>
      <c r="W817" s="6"/>
      <c r="X817" s="6"/>
      <c r="Y817" s="6"/>
      <c r="Z817" s="6"/>
    </row>
    <row r="818" ht="18.0" customHeight="1">
      <c r="A818" s="315" t="s">
        <v>2928</v>
      </c>
      <c r="B818" s="312" t="s">
        <v>2929</v>
      </c>
      <c r="C818" s="20"/>
      <c r="D818" s="20"/>
      <c r="E818" s="20"/>
      <c r="F818" s="6"/>
      <c r="G818" s="6"/>
      <c r="H818" s="6"/>
      <c r="I818" s="6"/>
      <c r="J818" s="6"/>
      <c r="K818" s="6"/>
      <c r="L818" s="6"/>
      <c r="M818" s="6"/>
      <c r="N818" s="6"/>
      <c r="O818" s="6"/>
      <c r="P818" s="6"/>
      <c r="Q818" s="6"/>
      <c r="R818" s="6"/>
      <c r="S818" s="6"/>
      <c r="T818" s="6"/>
      <c r="U818" s="6"/>
      <c r="V818" s="6"/>
      <c r="W818" s="6"/>
      <c r="X818" s="6"/>
      <c r="Y818" s="6"/>
      <c r="Z818" s="6"/>
    </row>
    <row r="819" ht="18.0" customHeight="1">
      <c r="A819" s="316">
        <v>9.8</v>
      </c>
      <c r="B819" s="312" t="s">
        <v>2930</v>
      </c>
      <c r="C819" s="20"/>
      <c r="D819" s="20"/>
      <c r="E819" s="20"/>
      <c r="F819" s="6"/>
      <c r="G819" s="6"/>
      <c r="H819" s="6"/>
      <c r="I819" s="6"/>
      <c r="J819" s="6"/>
      <c r="K819" s="6"/>
      <c r="L819" s="6"/>
      <c r="M819" s="6"/>
      <c r="N819" s="6"/>
      <c r="O819" s="6"/>
      <c r="P819" s="6"/>
      <c r="Q819" s="6"/>
      <c r="R819" s="6"/>
      <c r="S819" s="6"/>
      <c r="T819" s="6"/>
      <c r="U819" s="6"/>
      <c r="V819" s="6"/>
      <c r="W819" s="6"/>
      <c r="X819" s="6"/>
      <c r="Y819" s="6"/>
      <c r="Z819" s="6"/>
    </row>
    <row r="820" ht="18.0" customHeight="1">
      <c r="A820" s="315" t="s">
        <v>2931</v>
      </c>
      <c r="B820" s="312" t="s">
        <v>2932</v>
      </c>
      <c r="C820" s="20"/>
      <c r="D820" s="20"/>
      <c r="E820" s="20"/>
      <c r="F820" s="6"/>
      <c r="G820" s="6"/>
      <c r="H820" s="6"/>
      <c r="I820" s="6"/>
      <c r="J820" s="6"/>
      <c r="K820" s="6"/>
      <c r="L820" s="6"/>
      <c r="M820" s="6"/>
      <c r="N820" s="6"/>
      <c r="O820" s="6"/>
      <c r="P820" s="6"/>
      <c r="Q820" s="6"/>
      <c r="R820" s="6"/>
      <c r="S820" s="6"/>
      <c r="T820" s="6"/>
      <c r="U820" s="6"/>
      <c r="V820" s="6"/>
      <c r="W820" s="6"/>
      <c r="X820" s="6"/>
      <c r="Y820" s="6"/>
      <c r="Z820" s="6"/>
    </row>
    <row r="821" ht="18.0" customHeight="1">
      <c r="A821" s="315" t="s">
        <v>2933</v>
      </c>
      <c r="B821" s="312" t="s">
        <v>2934</v>
      </c>
      <c r="C821" s="20"/>
      <c r="D821" s="20"/>
      <c r="E821" s="20"/>
      <c r="F821" s="6"/>
      <c r="G821" s="6"/>
      <c r="H821" s="6"/>
      <c r="I821" s="6"/>
      <c r="J821" s="6"/>
      <c r="K821" s="6"/>
      <c r="L821" s="6"/>
      <c r="M821" s="6"/>
      <c r="N821" s="6"/>
      <c r="O821" s="6"/>
      <c r="P821" s="6"/>
      <c r="Q821" s="6"/>
      <c r="R821" s="6"/>
      <c r="S821" s="6"/>
      <c r="T821" s="6"/>
      <c r="U821" s="6"/>
      <c r="V821" s="6"/>
      <c r="W821" s="6"/>
      <c r="X821" s="6"/>
      <c r="Y821" s="6"/>
      <c r="Z821" s="6"/>
    </row>
    <row r="822" ht="18.0" customHeight="1">
      <c r="A822" s="316">
        <v>9.9</v>
      </c>
      <c r="B822" s="312" t="s">
        <v>2935</v>
      </c>
      <c r="C822" s="20"/>
      <c r="D822" s="20"/>
      <c r="E822" s="20"/>
      <c r="F822" s="6"/>
      <c r="G822" s="6"/>
      <c r="H822" s="6"/>
      <c r="I822" s="6"/>
      <c r="J822" s="6"/>
      <c r="K822" s="6"/>
      <c r="L822" s="6"/>
      <c r="M822" s="6"/>
      <c r="N822" s="6"/>
      <c r="O822" s="6"/>
      <c r="P822" s="6"/>
      <c r="Q822" s="6"/>
      <c r="R822" s="6"/>
      <c r="S822" s="6"/>
      <c r="T822" s="6"/>
      <c r="U822" s="6"/>
      <c r="V822" s="6"/>
      <c r="W822" s="6"/>
      <c r="X822" s="6"/>
      <c r="Y822" s="6"/>
      <c r="Z822" s="6"/>
    </row>
    <row r="823" ht="18.0" customHeight="1">
      <c r="A823" s="315" t="s">
        <v>2936</v>
      </c>
      <c r="B823" s="312" t="s">
        <v>2937</v>
      </c>
      <c r="C823" s="20"/>
      <c r="D823" s="20"/>
      <c r="E823" s="20"/>
      <c r="F823" s="6"/>
      <c r="G823" s="6"/>
      <c r="H823" s="6"/>
      <c r="I823" s="6"/>
      <c r="J823" s="6"/>
      <c r="K823" s="6"/>
      <c r="L823" s="6"/>
      <c r="M823" s="6"/>
      <c r="N823" s="6"/>
      <c r="O823" s="6"/>
      <c r="P823" s="6"/>
      <c r="Q823" s="6"/>
      <c r="R823" s="6"/>
      <c r="S823" s="6"/>
      <c r="T823" s="6"/>
      <c r="U823" s="6"/>
      <c r="V823" s="6"/>
      <c r="W823" s="6"/>
      <c r="X823" s="6"/>
      <c r="Y823" s="6"/>
      <c r="Z823" s="6"/>
    </row>
    <row r="824" ht="18.0" customHeight="1">
      <c r="A824" s="315" t="s">
        <v>2938</v>
      </c>
      <c r="B824" s="312" t="s">
        <v>2939</v>
      </c>
      <c r="C824" s="20"/>
      <c r="D824" s="20"/>
      <c r="E824" s="20"/>
      <c r="F824" s="6"/>
      <c r="G824" s="6"/>
      <c r="H824" s="6"/>
      <c r="I824" s="6"/>
      <c r="J824" s="6"/>
      <c r="K824" s="6"/>
      <c r="L824" s="6"/>
      <c r="M824" s="6"/>
      <c r="N824" s="6"/>
      <c r="O824" s="6"/>
      <c r="P824" s="6"/>
      <c r="Q824" s="6"/>
      <c r="R824" s="6"/>
      <c r="S824" s="6"/>
      <c r="T824" s="6"/>
      <c r="U824" s="6"/>
      <c r="V824" s="6"/>
      <c r="W824" s="6"/>
      <c r="X824" s="6"/>
      <c r="Y824" s="6"/>
      <c r="Z824" s="6"/>
    </row>
    <row r="825" ht="18.0" customHeight="1">
      <c r="A825" s="315" t="s">
        <v>2940</v>
      </c>
      <c r="B825" s="312" t="s">
        <v>2941</v>
      </c>
      <c r="C825" s="20"/>
      <c r="D825" s="20"/>
      <c r="E825" s="20"/>
      <c r="F825" s="6"/>
      <c r="G825" s="6"/>
      <c r="H825" s="6"/>
      <c r="I825" s="6"/>
      <c r="J825" s="6"/>
      <c r="K825" s="6"/>
      <c r="L825" s="6"/>
      <c r="M825" s="6"/>
      <c r="N825" s="6"/>
      <c r="O825" s="6"/>
      <c r="P825" s="6"/>
      <c r="Q825" s="6"/>
      <c r="R825" s="6"/>
      <c r="S825" s="6"/>
      <c r="T825" s="6"/>
      <c r="U825" s="6"/>
      <c r="V825" s="6"/>
      <c r="W825" s="6"/>
      <c r="X825" s="6"/>
      <c r="Y825" s="6"/>
      <c r="Z825" s="6"/>
    </row>
    <row r="826" ht="18.0" customHeight="1">
      <c r="A826" s="315" t="s">
        <v>2942</v>
      </c>
      <c r="B826" s="312" t="s">
        <v>2943</v>
      </c>
      <c r="C826" s="20"/>
      <c r="D826" s="20"/>
      <c r="E826" s="20"/>
      <c r="F826" s="6"/>
      <c r="G826" s="6"/>
      <c r="H826" s="6"/>
      <c r="I826" s="6"/>
      <c r="J826" s="6"/>
      <c r="K826" s="6"/>
      <c r="L826" s="6"/>
      <c r="M826" s="6"/>
      <c r="N826" s="6"/>
      <c r="O826" s="6"/>
      <c r="P826" s="6"/>
      <c r="Q826" s="6"/>
      <c r="R826" s="6"/>
      <c r="S826" s="6"/>
      <c r="T826" s="6"/>
      <c r="U826" s="6"/>
      <c r="V826" s="6"/>
      <c r="W826" s="6"/>
      <c r="X826" s="6"/>
      <c r="Y826" s="6"/>
      <c r="Z826" s="6"/>
    </row>
    <row r="827" ht="18.0" customHeight="1">
      <c r="A827" s="315" t="s">
        <v>2944</v>
      </c>
      <c r="B827" s="312" t="s">
        <v>2945</v>
      </c>
      <c r="C827" s="20"/>
      <c r="D827" s="20"/>
      <c r="E827" s="20"/>
      <c r="F827" s="6"/>
      <c r="G827" s="6"/>
      <c r="H827" s="6"/>
      <c r="I827" s="6"/>
      <c r="J827" s="6"/>
      <c r="K827" s="6"/>
      <c r="L827" s="6"/>
      <c r="M827" s="6"/>
      <c r="N827" s="6"/>
      <c r="O827" s="6"/>
      <c r="P827" s="6"/>
      <c r="Q827" s="6"/>
      <c r="R827" s="6"/>
      <c r="S827" s="6"/>
      <c r="T827" s="6"/>
      <c r="U827" s="6"/>
      <c r="V827" s="6"/>
      <c r="W827" s="6"/>
      <c r="X827" s="6"/>
      <c r="Y827" s="6"/>
      <c r="Z827" s="6"/>
    </row>
    <row r="828" ht="18.0" customHeight="1">
      <c r="A828" s="316">
        <v>10.1</v>
      </c>
      <c r="B828" s="312" t="s">
        <v>2946</v>
      </c>
      <c r="C828" s="20"/>
      <c r="D828" s="20"/>
      <c r="E828" s="20"/>
      <c r="F828" s="6"/>
      <c r="G828" s="6"/>
      <c r="H828" s="6"/>
      <c r="I828" s="6"/>
      <c r="J828" s="6"/>
      <c r="K828" s="6"/>
      <c r="L828" s="6"/>
      <c r="M828" s="6"/>
      <c r="N828" s="6"/>
      <c r="O828" s="6"/>
      <c r="P828" s="6"/>
      <c r="Q828" s="6"/>
      <c r="R828" s="6"/>
      <c r="S828" s="6"/>
      <c r="T828" s="6"/>
      <c r="U828" s="6"/>
      <c r="V828" s="6"/>
      <c r="W828" s="6"/>
      <c r="X828" s="6"/>
      <c r="Y828" s="6"/>
      <c r="Z828" s="6"/>
    </row>
    <row r="829" ht="18.0" customHeight="1">
      <c r="A829" s="316">
        <v>10.2</v>
      </c>
      <c r="B829" s="312" t="s">
        <v>2947</v>
      </c>
      <c r="C829" s="20"/>
      <c r="D829" s="20"/>
      <c r="E829" s="20"/>
      <c r="F829" s="6"/>
      <c r="G829" s="6"/>
      <c r="H829" s="6"/>
      <c r="I829" s="6"/>
      <c r="J829" s="6"/>
      <c r="K829" s="6"/>
      <c r="L829" s="6"/>
      <c r="M829" s="6"/>
      <c r="N829" s="6"/>
      <c r="O829" s="6"/>
      <c r="P829" s="6"/>
      <c r="Q829" s="6"/>
      <c r="R829" s="6"/>
      <c r="S829" s="6"/>
      <c r="T829" s="6"/>
      <c r="U829" s="6"/>
      <c r="V829" s="6"/>
      <c r="W829" s="6"/>
      <c r="X829" s="6"/>
      <c r="Y829" s="6"/>
      <c r="Z829" s="6"/>
    </row>
    <row r="830" ht="18.0" customHeight="1">
      <c r="A830" s="315" t="s">
        <v>2948</v>
      </c>
      <c r="B830" s="312" t="s">
        <v>2949</v>
      </c>
      <c r="C830" s="20"/>
      <c r="D830" s="20"/>
      <c r="E830" s="20"/>
      <c r="F830" s="6"/>
      <c r="G830" s="6"/>
      <c r="H830" s="6"/>
      <c r="I830" s="6"/>
      <c r="J830" s="6"/>
      <c r="K830" s="6"/>
      <c r="L830" s="6"/>
      <c r="M830" s="6"/>
      <c r="N830" s="6"/>
      <c r="O830" s="6"/>
      <c r="P830" s="6"/>
      <c r="Q830" s="6"/>
      <c r="R830" s="6"/>
      <c r="S830" s="6"/>
      <c r="T830" s="6"/>
      <c r="U830" s="6"/>
      <c r="V830" s="6"/>
      <c r="W830" s="6"/>
      <c r="X830" s="6"/>
      <c r="Y830" s="6"/>
      <c r="Z830" s="6"/>
    </row>
    <row r="831" ht="18.0" customHeight="1">
      <c r="A831" s="315" t="s">
        <v>2950</v>
      </c>
      <c r="B831" s="312" t="s">
        <v>2951</v>
      </c>
      <c r="C831" s="20"/>
      <c r="D831" s="20"/>
      <c r="E831" s="20"/>
      <c r="F831" s="6"/>
      <c r="G831" s="6"/>
      <c r="H831" s="6"/>
      <c r="I831" s="6"/>
      <c r="J831" s="6"/>
      <c r="K831" s="6"/>
      <c r="L831" s="6"/>
      <c r="M831" s="6"/>
      <c r="N831" s="6"/>
      <c r="O831" s="6"/>
      <c r="P831" s="6"/>
      <c r="Q831" s="6"/>
      <c r="R831" s="6"/>
      <c r="S831" s="6"/>
      <c r="T831" s="6"/>
      <c r="U831" s="6"/>
      <c r="V831" s="6"/>
      <c r="W831" s="6"/>
      <c r="X831" s="6"/>
      <c r="Y831" s="6"/>
      <c r="Z831" s="6"/>
    </row>
    <row r="832" ht="18.0" customHeight="1">
      <c r="A832" s="315" t="s">
        <v>2952</v>
      </c>
      <c r="B832" s="312" t="s">
        <v>2953</v>
      </c>
      <c r="C832" s="20"/>
      <c r="D832" s="20"/>
      <c r="E832" s="20"/>
      <c r="F832" s="6"/>
      <c r="G832" s="6"/>
      <c r="H832" s="6"/>
      <c r="I832" s="6"/>
      <c r="J832" s="6"/>
      <c r="K832" s="6"/>
      <c r="L832" s="6"/>
      <c r="M832" s="6"/>
      <c r="N832" s="6"/>
      <c r="O832" s="6"/>
      <c r="P832" s="6"/>
      <c r="Q832" s="6"/>
      <c r="R832" s="6"/>
      <c r="S832" s="6"/>
      <c r="T832" s="6"/>
      <c r="U832" s="6"/>
      <c r="V832" s="6"/>
      <c r="W832" s="6"/>
      <c r="X832" s="6"/>
      <c r="Y832" s="6"/>
      <c r="Z832" s="6"/>
    </row>
    <row r="833" ht="18.0" customHeight="1">
      <c r="A833" s="315" t="s">
        <v>2954</v>
      </c>
      <c r="B833" s="312" t="s">
        <v>2955</v>
      </c>
      <c r="C833" s="20"/>
      <c r="D833" s="20"/>
      <c r="E833" s="20"/>
      <c r="F833" s="6"/>
      <c r="G833" s="6"/>
      <c r="H833" s="6"/>
      <c r="I833" s="6"/>
      <c r="J833" s="6"/>
      <c r="K833" s="6"/>
      <c r="L833" s="6"/>
      <c r="M833" s="6"/>
      <c r="N833" s="6"/>
      <c r="O833" s="6"/>
      <c r="P833" s="6"/>
      <c r="Q833" s="6"/>
      <c r="R833" s="6"/>
      <c r="S833" s="6"/>
      <c r="T833" s="6"/>
      <c r="U833" s="6"/>
      <c r="V833" s="6"/>
      <c r="W833" s="6"/>
      <c r="X833" s="6"/>
      <c r="Y833" s="6"/>
      <c r="Z833" s="6"/>
    </row>
    <row r="834" ht="18.0" customHeight="1">
      <c r="A834" s="315" t="s">
        <v>2956</v>
      </c>
      <c r="B834" s="312" t="s">
        <v>2957</v>
      </c>
      <c r="C834" s="20"/>
      <c r="D834" s="20"/>
      <c r="E834" s="20"/>
      <c r="F834" s="6"/>
      <c r="G834" s="6"/>
      <c r="H834" s="6"/>
      <c r="I834" s="6"/>
      <c r="J834" s="6"/>
      <c r="K834" s="6"/>
      <c r="L834" s="6"/>
      <c r="M834" s="6"/>
      <c r="N834" s="6"/>
      <c r="O834" s="6"/>
      <c r="P834" s="6"/>
      <c r="Q834" s="6"/>
      <c r="R834" s="6"/>
      <c r="S834" s="6"/>
      <c r="T834" s="6"/>
      <c r="U834" s="6"/>
      <c r="V834" s="6"/>
      <c r="W834" s="6"/>
      <c r="X834" s="6"/>
      <c r="Y834" s="6"/>
      <c r="Z834" s="6"/>
    </row>
    <row r="835" ht="18.0" customHeight="1">
      <c r="A835" s="315" t="s">
        <v>2958</v>
      </c>
      <c r="B835" s="312" t="s">
        <v>2959</v>
      </c>
      <c r="C835" s="20"/>
      <c r="D835" s="20"/>
      <c r="E835" s="20"/>
      <c r="F835" s="6"/>
      <c r="G835" s="6"/>
      <c r="H835" s="6"/>
      <c r="I835" s="6"/>
      <c r="J835" s="6"/>
      <c r="K835" s="6"/>
      <c r="L835" s="6"/>
      <c r="M835" s="6"/>
      <c r="N835" s="6"/>
      <c r="O835" s="6"/>
      <c r="P835" s="6"/>
      <c r="Q835" s="6"/>
      <c r="R835" s="6"/>
      <c r="S835" s="6"/>
      <c r="T835" s="6"/>
      <c r="U835" s="6"/>
      <c r="V835" s="6"/>
      <c r="W835" s="6"/>
      <c r="X835" s="6"/>
      <c r="Y835" s="6"/>
      <c r="Z835" s="6"/>
    </row>
    <row r="836" ht="18.0" customHeight="1">
      <c r="A836" s="315" t="s">
        <v>2960</v>
      </c>
      <c r="B836" s="312" t="s">
        <v>2961</v>
      </c>
      <c r="C836" s="20"/>
      <c r="D836" s="20"/>
      <c r="E836" s="20"/>
      <c r="F836" s="6"/>
      <c r="G836" s="6"/>
      <c r="H836" s="6"/>
      <c r="I836" s="6"/>
      <c r="J836" s="6"/>
      <c r="K836" s="6"/>
      <c r="L836" s="6"/>
      <c r="M836" s="6"/>
      <c r="N836" s="6"/>
      <c r="O836" s="6"/>
      <c r="P836" s="6"/>
      <c r="Q836" s="6"/>
      <c r="R836" s="6"/>
      <c r="S836" s="6"/>
      <c r="T836" s="6"/>
      <c r="U836" s="6"/>
      <c r="V836" s="6"/>
      <c r="W836" s="6"/>
      <c r="X836" s="6"/>
      <c r="Y836" s="6"/>
      <c r="Z836" s="6"/>
    </row>
    <row r="837" ht="18.0" customHeight="1">
      <c r="A837" s="316">
        <v>10.3</v>
      </c>
      <c r="B837" s="312" t="s">
        <v>2962</v>
      </c>
      <c r="C837" s="20"/>
      <c r="D837" s="20"/>
      <c r="E837" s="20"/>
      <c r="F837" s="6"/>
      <c r="G837" s="6"/>
      <c r="H837" s="6"/>
      <c r="I837" s="6"/>
      <c r="J837" s="6"/>
      <c r="K837" s="6"/>
      <c r="L837" s="6"/>
      <c r="M837" s="6"/>
      <c r="N837" s="6"/>
      <c r="O837" s="6"/>
      <c r="P837" s="6"/>
      <c r="Q837" s="6"/>
      <c r="R837" s="6"/>
      <c r="S837" s="6"/>
      <c r="T837" s="6"/>
      <c r="U837" s="6"/>
      <c r="V837" s="6"/>
      <c r="W837" s="6"/>
      <c r="X837" s="6"/>
      <c r="Y837" s="6"/>
      <c r="Z837" s="6"/>
    </row>
    <row r="838" ht="18.0" customHeight="1">
      <c r="A838" s="315" t="s">
        <v>2963</v>
      </c>
      <c r="B838" s="312" t="s">
        <v>2964</v>
      </c>
      <c r="C838" s="20"/>
      <c r="D838" s="20"/>
      <c r="E838" s="20"/>
      <c r="F838" s="6"/>
      <c r="G838" s="6"/>
      <c r="H838" s="6"/>
      <c r="I838" s="6"/>
      <c r="J838" s="6"/>
      <c r="K838" s="6"/>
      <c r="L838" s="6"/>
      <c r="M838" s="6"/>
      <c r="N838" s="6"/>
      <c r="O838" s="6"/>
      <c r="P838" s="6"/>
      <c r="Q838" s="6"/>
      <c r="R838" s="6"/>
      <c r="S838" s="6"/>
      <c r="T838" s="6"/>
      <c r="U838" s="6"/>
      <c r="V838" s="6"/>
      <c r="W838" s="6"/>
      <c r="X838" s="6"/>
      <c r="Y838" s="6"/>
      <c r="Z838" s="6"/>
    </row>
    <row r="839" ht="18.0" customHeight="1">
      <c r="A839" s="315" t="s">
        <v>2965</v>
      </c>
      <c r="B839" s="312" t="s">
        <v>2966</v>
      </c>
      <c r="C839" s="20"/>
      <c r="D839" s="20"/>
      <c r="E839" s="20"/>
      <c r="F839" s="6"/>
      <c r="G839" s="6"/>
      <c r="H839" s="6"/>
      <c r="I839" s="6"/>
      <c r="J839" s="6"/>
      <c r="K839" s="6"/>
      <c r="L839" s="6"/>
      <c r="M839" s="6"/>
      <c r="N839" s="6"/>
      <c r="O839" s="6"/>
      <c r="P839" s="6"/>
      <c r="Q839" s="6"/>
      <c r="R839" s="6"/>
      <c r="S839" s="6"/>
      <c r="T839" s="6"/>
      <c r="U839" s="6"/>
      <c r="V839" s="6"/>
      <c r="W839" s="6"/>
      <c r="X839" s="6"/>
      <c r="Y839" s="6"/>
      <c r="Z839" s="6"/>
    </row>
    <row r="840" ht="18.0" customHeight="1">
      <c r="A840" s="315" t="s">
        <v>2967</v>
      </c>
      <c r="B840" s="312" t="s">
        <v>2968</v>
      </c>
      <c r="C840" s="20"/>
      <c r="D840" s="20"/>
      <c r="E840" s="20"/>
      <c r="F840" s="6"/>
      <c r="G840" s="6"/>
      <c r="H840" s="6"/>
      <c r="I840" s="6"/>
      <c r="J840" s="6"/>
      <c r="K840" s="6"/>
      <c r="L840" s="6"/>
      <c r="M840" s="6"/>
      <c r="N840" s="6"/>
      <c r="O840" s="6"/>
      <c r="P840" s="6"/>
      <c r="Q840" s="6"/>
      <c r="R840" s="6"/>
      <c r="S840" s="6"/>
      <c r="T840" s="6"/>
      <c r="U840" s="6"/>
      <c r="V840" s="6"/>
      <c r="W840" s="6"/>
      <c r="X840" s="6"/>
      <c r="Y840" s="6"/>
      <c r="Z840" s="6"/>
    </row>
    <row r="841" ht="18.0" customHeight="1">
      <c r="A841" s="315" t="s">
        <v>2969</v>
      </c>
      <c r="B841" s="312" t="s">
        <v>2970</v>
      </c>
      <c r="C841" s="20"/>
      <c r="D841" s="20"/>
      <c r="E841" s="20"/>
      <c r="F841" s="6"/>
      <c r="G841" s="6"/>
      <c r="H841" s="6"/>
      <c r="I841" s="6"/>
      <c r="J841" s="6"/>
      <c r="K841" s="6"/>
      <c r="L841" s="6"/>
      <c r="M841" s="6"/>
      <c r="N841" s="6"/>
      <c r="O841" s="6"/>
      <c r="P841" s="6"/>
      <c r="Q841" s="6"/>
      <c r="R841" s="6"/>
      <c r="S841" s="6"/>
      <c r="T841" s="6"/>
      <c r="U841" s="6"/>
      <c r="V841" s="6"/>
      <c r="W841" s="6"/>
      <c r="X841" s="6"/>
      <c r="Y841" s="6"/>
      <c r="Z841" s="6"/>
    </row>
    <row r="842" ht="18.0" customHeight="1">
      <c r="A842" s="315" t="s">
        <v>2971</v>
      </c>
      <c r="B842" s="312" t="s">
        <v>2972</v>
      </c>
      <c r="C842" s="20"/>
      <c r="D842" s="20"/>
      <c r="E842" s="20"/>
      <c r="F842" s="6"/>
      <c r="G842" s="6"/>
      <c r="H842" s="6"/>
      <c r="I842" s="6"/>
      <c r="J842" s="6"/>
      <c r="K842" s="6"/>
      <c r="L842" s="6"/>
      <c r="M842" s="6"/>
      <c r="N842" s="6"/>
      <c r="O842" s="6"/>
      <c r="P842" s="6"/>
      <c r="Q842" s="6"/>
      <c r="R842" s="6"/>
      <c r="S842" s="6"/>
      <c r="T842" s="6"/>
      <c r="U842" s="6"/>
      <c r="V842" s="6"/>
      <c r="W842" s="6"/>
      <c r="X842" s="6"/>
      <c r="Y842" s="6"/>
      <c r="Z842" s="6"/>
    </row>
    <row r="843" ht="18.0" customHeight="1">
      <c r="A843" s="315" t="s">
        <v>2973</v>
      </c>
      <c r="B843" s="312" t="s">
        <v>2974</v>
      </c>
      <c r="C843" s="20"/>
      <c r="D843" s="20"/>
      <c r="E843" s="20"/>
      <c r="F843" s="6"/>
      <c r="G843" s="6"/>
      <c r="H843" s="6"/>
      <c r="I843" s="6"/>
      <c r="J843" s="6"/>
      <c r="K843" s="6"/>
      <c r="L843" s="6"/>
      <c r="M843" s="6"/>
      <c r="N843" s="6"/>
      <c r="O843" s="6"/>
      <c r="P843" s="6"/>
      <c r="Q843" s="6"/>
      <c r="R843" s="6"/>
      <c r="S843" s="6"/>
      <c r="T843" s="6"/>
      <c r="U843" s="6"/>
      <c r="V843" s="6"/>
      <c r="W843" s="6"/>
      <c r="X843" s="6"/>
      <c r="Y843" s="6"/>
      <c r="Z843" s="6"/>
    </row>
    <row r="844" ht="18.0" customHeight="1">
      <c r="A844" s="316">
        <v>10.4</v>
      </c>
      <c r="B844" s="312" t="s">
        <v>2975</v>
      </c>
      <c r="C844" s="20"/>
      <c r="D844" s="20"/>
      <c r="E844" s="20"/>
      <c r="F844" s="6"/>
      <c r="G844" s="6"/>
      <c r="H844" s="6"/>
      <c r="I844" s="6"/>
      <c r="J844" s="6"/>
      <c r="K844" s="6"/>
      <c r="L844" s="6"/>
      <c r="M844" s="6"/>
      <c r="N844" s="6"/>
      <c r="O844" s="6"/>
      <c r="P844" s="6"/>
      <c r="Q844" s="6"/>
      <c r="R844" s="6"/>
      <c r="S844" s="6"/>
      <c r="T844" s="6"/>
      <c r="U844" s="6"/>
      <c r="V844" s="6"/>
      <c r="W844" s="6"/>
      <c r="X844" s="6"/>
      <c r="Y844" s="6"/>
      <c r="Z844" s="6"/>
    </row>
    <row r="845" ht="18.0" customHeight="1">
      <c r="A845" s="315" t="s">
        <v>2976</v>
      </c>
      <c r="B845" s="312" t="s">
        <v>2977</v>
      </c>
      <c r="C845" s="20"/>
      <c r="D845" s="20"/>
      <c r="E845" s="20"/>
      <c r="F845" s="6"/>
      <c r="G845" s="6"/>
      <c r="H845" s="6"/>
      <c r="I845" s="6"/>
      <c r="J845" s="6"/>
      <c r="K845" s="6"/>
      <c r="L845" s="6"/>
      <c r="M845" s="6"/>
      <c r="N845" s="6"/>
      <c r="O845" s="6"/>
      <c r="P845" s="6"/>
      <c r="Q845" s="6"/>
      <c r="R845" s="6"/>
      <c r="S845" s="6"/>
      <c r="T845" s="6"/>
      <c r="U845" s="6"/>
      <c r="V845" s="6"/>
      <c r="W845" s="6"/>
      <c r="X845" s="6"/>
      <c r="Y845" s="6"/>
      <c r="Z845" s="6"/>
    </row>
    <row r="846" ht="18.0" customHeight="1">
      <c r="A846" s="315" t="s">
        <v>2978</v>
      </c>
      <c r="B846" s="312" t="s">
        <v>2979</v>
      </c>
      <c r="C846" s="20"/>
      <c r="D846" s="20"/>
      <c r="E846" s="20"/>
      <c r="F846" s="6"/>
      <c r="G846" s="6"/>
      <c r="H846" s="6"/>
      <c r="I846" s="6"/>
      <c r="J846" s="6"/>
      <c r="K846" s="6"/>
      <c r="L846" s="6"/>
      <c r="M846" s="6"/>
      <c r="N846" s="6"/>
      <c r="O846" s="6"/>
      <c r="P846" s="6"/>
      <c r="Q846" s="6"/>
      <c r="R846" s="6"/>
      <c r="S846" s="6"/>
      <c r="T846" s="6"/>
      <c r="U846" s="6"/>
      <c r="V846" s="6"/>
      <c r="W846" s="6"/>
      <c r="X846" s="6"/>
      <c r="Y846" s="6"/>
      <c r="Z846" s="6"/>
    </row>
    <row r="847" ht="18.0" customHeight="1">
      <c r="A847" s="315" t="s">
        <v>2980</v>
      </c>
      <c r="B847" s="312" t="s">
        <v>2981</v>
      </c>
      <c r="C847" s="20"/>
      <c r="D847" s="20"/>
      <c r="E847" s="20"/>
      <c r="F847" s="6"/>
      <c r="G847" s="6"/>
      <c r="H847" s="6"/>
      <c r="I847" s="6"/>
      <c r="J847" s="6"/>
      <c r="K847" s="6"/>
      <c r="L847" s="6"/>
      <c r="M847" s="6"/>
      <c r="N847" s="6"/>
      <c r="O847" s="6"/>
      <c r="P847" s="6"/>
      <c r="Q847" s="6"/>
      <c r="R847" s="6"/>
      <c r="S847" s="6"/>
      <c r="T847" s="6"/>
      <c r="U847" s="6"/>
      <c r="V847" s="6"/>
      <c r="W847" s="6"/>
      <c r="X847" s="6"/>
      <c r="Y847" s="6"/>
      <c r="Z847" s="6"/>
    </row>
    <row r="848" ht="18.0" customHeight="1">
      <c r="A848" s="316">
        <v>10.5</v>
      </c>
      <c r="B848" s="312" t="s">
        <v>2982</v>
      </c>
      <c r="C848" s="20"/>
      <c r="D848" s="20"/>
      <c r="E848" s="20"/>
      <c r="F848" s="6"/>
      <c r="G848" s="6"/>
      <c r="H848" s="6"/>
      <c r="I848" s="6"/>
      <c r="J848" s="6"/>
      <c r="K848" s="6"/>
      <c r="L848" s="6"/>
      <c r="M848" s="6"/>
      <c r="N848" s="6"/>
      <c r="O848" s="6"/>
      <c r="P848" s="6"/>
      <c r="Q848" s="6"/>
      <c r="R848" s="6"/>
      <c r="S848" s="6"/>
      <c r="T848" s="6"/>
      <c r="U848" s="6"/>
      <c r="V848" s="6"/>
      <c r="W848" s="6"/>
      <c r="X848" s="6"/>
      <c r="Y848" s="6"/>
      <c r="Z848" s="6"/>
    </row>
    <row r="849" ht="18.0" customHeight="1">
      <c r="A849" s="315" t="s">
        <v>2983</v>
      </c>
      <c r="B849" s="312" t="s">
        <v>2984</v>
      </c>
      <c r="C849" s="20"/>
      <c r="D849" s="20"/>
      <c r="E849" s="20"/>
      <c r="F849" s="6"/>
      <c r="G849" s="6"/>
      <c r="H849" s="6"/>
      <c r="I849" s="6"/>
      <c r="J849" s="6"/>
      <c r="K849" s="6"/>
      <c r="L849" s="6"/>
      <c r="M849" s="6"/>
      <c r="N849" s="6"/>
      <c r="O849" s="6"/>
      <c r="P849" s="6"/>
      <c r="Q849" s="6"/>
      <c r="R849" s="6"/>
      <c r="S849" s="6"/>
      <c r="T849" s="6"/>
      <c r="U849" s="6"/>
      <c r="V849" s="6"/>
      <c r="W849" s="6"/>
      <c r="X849" s="6"/>
      <c r="Y849" s="6"/>
      <c r="Z849" s="6"/>
    </row>
    <row r="850" ht="18.0" customHeight="1">
      <c r="A850" s="315" t="s">
        <v>2985</v>
      </c>
      <c r="B850" s="312" t="s">
        <v>2986</v>
      </c>
      <c r="C850" s="20"/>
      <c r="D850" s="20"/>
      <c r="E850" s="20"/>
      <c r="F850" s="6"/>
      <c r="G850" s="6"/>
      <c r="H850" s="6"/>
      <c r="I850" s="6"/>
      <c r="J850" s="6"/>
      <c r="K850" s="6"/>
      <c r="L850" s="6"/>
      <c r="M850" s="6"/>
      <c r="N850" s="6"/>
      <c r="O850" s="6"/>
      <c r="P850" s="6"/>
      <c r="Q850" s="6"/>
      <c r="R850" s="6"/>
      <c r="S850" s="6"/>
      <c r="T850" s="6"/>
      <c r="U850" s="6"/>
      <c r="V850" s="6"/>
      <c r="W850" s="6"/>
      <c r="X850" s="6"/>
      <c r="Y850" s="6"/>
      <c r="Z850" s="6"/>
    </row>
    <row r="851" ht="18.0" customHeight="1">
      <c r="A851" s="315" t="s">
        <v>2987</v>
      </c>
      <c r="B851" s="312" t="s">
        <v>2988</v>
      </c>
      <c r="C851" s="20"/>
      <c r="D851" s="20"/>
      <c r="E851" s="20"/>
      <c r="F851" s="6"/>
      <c r="G851" s="6"/>
      <c r="H851" s="6"/>
      <c r="I851" s="6"/>
      <c r="J851" s="6"/>
      <c r="K851" s="6"/>
      <c r="L851" s="6"/>
      <c r="M851" s="6"/>
      <c r="N851" s="6"/>
      <c r="O851" s="6"/>
      <c r="P851" s="6"/>
      <c r="Q851" s="6"/>
      <c r="R851" s="6"/>
      <c r="S851" s="6"/>
      <c r="T851" s="6"/>
      <c r="U851" s="6"/>
      <c r="V851" s="6"/>
      <c r="W851" s="6"/>
      <c r="X851" s="6"/>
      <c r="Y851" s="6"/>
      <c r="Z851" s="6"/>
    </row>
    <row r="852" ht="18.0" customHeight="1">
      <c r="A852" s="315" t="s">
        <v>2989</v>
      </c>
      <c r="B852" s="312" t="s">
        <v>2990</v>
      </c>
      <c r="C852" s="20"/>
      <c r="D852" s="20"/>
      <c r="E852" s="20"/>
      <c r="F852" s="6"/>
      <c r="G852" s="6"/>
      <c r="H852" s="6"/>
      <c r="I852" s="6"/>
      <c r="J852" s="6"/>
      <c r="K852" s="6"/>
      <c r="L852" s="6"/>
      <c r="M852" s="6"/>
      <c r="N852" s="6"/>
      <c r="O852" s="6"/>
      <c r="P852" s="6"/>
      <c r="Q852" s="6"/>
      <c r="R852" s="6"/>
      <c r="S852" s="6"/>
      <c r="T852" s="6"/>
      <c r="U852" s="6"/>
      <c r="V852" s="6"/>
      <c r="W852" s="6"/>
      <c r="X852" s="6"/>
      <c r="Y852" s="6"/>
      <c r="Z852" s="6"/>
    </row>
    <row r="853" ht="18.0" customHeight="1">
      <c r="A853" s="315" t="s">
        <v>2991</v>
      </c>
      <c r="B853" s="312" t="s">
        <v>2992</v>
      </c>
      <c r="C853" s="20"/>
      <c r="D853" s="20"/>
      <c r="E853" s="20"/>
      <c r="F853" s="6"/>
      <c r="G853" s="6"/>
      <c r="H853" s="6"/>
      <c r="I853" s="6"/>
      <c r="J853" s="6"/>
      <c r="K853" s="6"/>
      <c r="L853" s="6"/>
      <c r="M853" s="6"/>
      <c r="N853" s="6"/>
      <c r="O853" s="6"/>
      <c r="P853" s="6"/>
      <c r="Q853" s="6"/>
      <c r="R853" s="6"/>
      <c r="S853" s="6"/>
      <c r="T853" s="6"/>
      <c r="U853" s="6"/>
      <c r="V853" s="6"/>
      <c r="W853" s="6"/>
      <c r="X853" s="6"/>
      <c r="Y853" s="6"/>
      <c r="Z853" s="6"/>
    </row>
    <row r="854" ht="18.0" customHeight="1">
      <c r="A854" s="316">
        <v>10.6</v>
      </c>
      <c r="B854" s="312" t="s">
        <v>2993</v>
      </c>
      <c r="C854" s="20"/>
      <c r="D854" s="20"/>
      <c r="E854" s="20"/>
      <c r="F854" s="6"/>
      <c r="G854" s="6"/>
      <c r="H854" s="6"/>
      <c r="I854" s="6"/>
      <c r="J854" s="6"/>
      <c r="K854" s="6"/>
      <c r="L854" s="6"/>
      <c r="M854" s="6"/>
      <c r="N854" s="6"/>
      <c r="O854" s="6"/>
      <c r="P854" s="6"/>
      <c r="Q854" s="6"/>
      <c r="R854" s="6"/>
      <c r="S854" s="6"/>
      <c r="T854" s="6"/>
      <c r="U854" s="6"/>
      <c r="V854" s="6"/>
      <c r="W854" s="6"/>
      <c r="X854" s="6"/>
      <c r="Y854" s="6"/>
      <c r="Z854" s="6"/>
    </row>
    <row r="855" ht="18.0" customHeight="1">
      <c r="A855" s="315" t="s">
        <v>2994</v>
      </c>
      <c r="B855" s="312" t="s">
        <v>2995</v>
      </c>
      <c r="C855" s="20"/>
      <c r="D855" s="20"/>
      <c r="E855" s="20"/>
      <c r="F855" s="6"/>
      <c r="G855" s="6"/>
      <c r="H855" s="6"/>
      <c r="I855" s="6"/>
      <c r="J855" s="6"/>
      <c r="K855" s="6"/>
      <c r="L855" s="6"/>
      <c r="M855" s="6"/>
      <c r="N855" s="6"/>
      <c r="O855" s="6"/>
      <c r="P855" s="6"/>
      <c r="Q855" s="6"/>
      <c r="R855" s="6"/>
      <c r="S855" s="6"/>
      <c r="T855" s="6"/>
      <c r="U855" s="6"/>
      <c r="V855" s="6"/>
      <c r="W855" s="6"/>
      <c r="X855" s="6"/>
      <c r="Y855" s="6"/>
      <c r="Z855" s="6"/>
    </row>
    <row r="856" ht="18.0" customHeight="1">
      <c r="A856" s="315" t="s">
        <v>2996</v>
      </c>
      <c r="B856" s="312" t="s">
        <v>2997</v>
      </c>
      <c r="C856" s="20"/>
      <c r="D856" s="20"/>
      <c r="E856" s="20"/>
      <c r="F856" s="6"/>
      <c r="G856" s="6"/>
      <c r="H856" s="6"/>
      <c r="I856" s="6"/>
      <c r="J856" s="6"/>
      <c r="K856" s="6"/>
      <c r="L856" s="6"/>
      <c r="M856" s="6"/>
      <c r="N856" s="6"/>
      <c r="O856" s="6"/>
      <c r="P856" s="6"/>
      <c r="Q856" s="6"/>
      <c r="R856" s="6"/>
      <c r="S856" s="6"/>
      <c r="T856" s="6"/>
      <c r="U856" s="6"/>
      <c r="V856" s="6"/>
      <c r="W856" s="6"/>
      <c r="X856" s="6"/>
      <c r="Y856" s="6"/>
      <c r="Z856" s="6"/>
    </row>
    <row r="857" ht="18.0" customHeight="1">
      <c r="A857" s="315" t="s">
        <v>2998</v>
      </c>
      <c r="B857" s="312" t="s">
        <v>2999</v>
      </c>
      <c r="C857" s="20"/>
      <c r="D857" s="20"/>
      <c r="E857" s="20"/>
      <c r="F857" s="6"/>
      <c r="G857" s="6"/>
      <c r="H857" s="6"/>
      <c r="I857" s="6"/>
      <c r="J857" s="6"/>
      <c r="K857" s="6"/>
      <c r="L857" s="6"/>
      <c r="M857" s="6"/>
      <c r="N857" s="6"/>
      <c r="O857" s="6"/>
      <c r="P857" s="6"/>
      <c r="Q857" s="6"/>
      <c r="R857" s="6"/>
      <c r="S857" s="6"/>
      <c r="T857" s="6"/>
      <c r="U857" s="6"/>
      <c r="V857" s="6"/>
      <c r="W857" s="6"/>
      <c r="X857" s="6"/>
      <c r="Y857" s="6"/>
      <c r="Z857" s="6"/>
    </row>
    <row r="858" ht="18.0" customHeight="1">
      <c r="A858" s="316">
        <v>10.7</v>
      </c>
      <c r="B858" s="312" t="s">
        <v>3000</v>
      </c>
      <c r="C858" s="20"/>
      <c r="D858" s="20"/>
      <c r="E858" s="20"/>
      <c r="F858" s="6"/>
      <c r="G858" s="6"/>
      <c r="H858" s="6"/>
      <c r="I858" s="6"/>
      <c r="J858" s="6"/>
      <c r="K858" s="6"/>
      <c r="L858" s="6"/>
      <c r="M858" s="6"/>
      <c r="N858" s="6"/>
      <c r="O858" s="6"/>
      <c r="P858" s="6"/>
      <c r="Q858" s="6"/>
      <c r="R858" s="6"/>
      <c r="S858" s="6"/>
      <c r="T858" s="6"/>
      <c r="U858" s="6"/>
      <c r="V858" s="6"/>
      <c r="W858" s="6"/>
      <c r="X858" s="6"/>
      <c r="Y858" s="6"/>
      <c r="Z858" s="6"/>
    </row>
    <row r="859" ht="18.0" customHeight="1">
      <c r="A859" s="316">
        <v>10.8</v>
      </c>
      <c r="B859" s="312" t="s">
        <v>3001</v>
      </c>
      <c r="C859" s="20"/>
      <c r="D859" s="20"/>
      <c r="E859" s="20"/>
      <c r="F859" s="6"/>
      <c r="G859" s="6"/>
      <c r="H859" s="6"/>
      <c r="I859" s="6"/>
      <c r="J859" s="6"/>
      <c r="K859" s="6"/>
      <c r="L859" s="6"/>
      <c r="M859" s="6"/>
      <c r="N859" s="6"/>
      <c r="O859" s="6"/>
      <c r="P859" s="6"/>
      <c r="Q859" s="6"/>
      <c r="R859" s="6"/>
      <c r="S859" s="6"/>
      <c r="T859" s="6"/>
      <c r="U859" s="6"/>
      <c r="V859" s="6"/>
      <c r="W859" s="6"/>
      <c r="X859" s="6"/>
      <c r="Y859" s="6"/>
      <c r="Z859" s="6"/>
    </row>
    <row r="860" ht="18.0" customHeight="1">
      <c r="A860" s="315" t="s">
        <v>3002</v>
      </c>
      <c r="B860" s="312" t="s">
        <v>3003</v>
      </c>
      <c r="C860" s="20"/>
      <c r="D860" s="20"/>
      <c r="E860" s="20"/>
      <c r="F860" s="6"/>
      <c r="G860" s="6"/>
      <c r="H860" s="6"/>
      <c r="I860" s="6"/>
      <c r="J860" s="6"/>
      <c r="K860" s="6"/>
      <c r="L860" s="6"/>
      <c r="M860" s="6"/>
      <c r="N860" s="6"/>
      <c r="O860" s="6"/>
      <c r="P860" s="6"/>
      <c r="Q860" s="6"/>
      <c r="R860" s="6"/>
      <c r="S860" s="6"/>
      <c r="T860" s="6"/>
      <c r="U860" s="6"/>
      <c r="V860" s="6"/>
      <c r="W860" s="6"/>
      <c r="X860" s="6"/>
      <c r="Y860" s="6"/>
      <c r="Z860" s="6"/>
    </row>
    <row r="861" ht="18.0" customHeight="1">
      <c r="A861" s="316">
        <v>10.9</v>
      </c>
      <c r="B861" s="312" t="s">
        <v>3004</v>
      </c>
      <c r="C861" s="20"/>
      <c r="D861" s="20"/>
      <c r="E861" s="20"/>
      <c r="F861" s="6"/>
      <c r="G861" s="6"/>
      <c r="H861" s="6"/>
      <c r="I861" s="6"/>
      <c r="J861" s="6"/>
      <c r="K861" s="6"/>
      <c r="L861" s="6"/>
      <c r="M861" s="6"/>
      <c r="N861" s="6"/>
      <c r="O861" s="6"/>
      <c r="P861" s="6"/>
      <c r="Q861" s="6"/>
      <c r="R861" s="6"/>
      <c r="S861" s="6"/>
      <c r="T861" s="6"/>
      <c r="U861" s="6"/>
      <c r="V861" s="6"/>
      <c r="W861" s="6"/>
      <c r="X861" s="6"/>
      <c r="Y861" s="6"/>
      <c r="Z861" s="6"/>
    </row>
    <row r="862" ht="18.0" customHeight="1">
      <c r="A862" s="315" t="s">
        <v>3005</v>
      </c>
      <c r="B862" s="312" t="s">
        <v>3006</v>
      </c>
      <c r="C862" s="20"/>
      <c r="D862" s="20"/>
      <c r="E862" s="20"/>
      <c r="F862" s="6"/>
      <c r="G862" s="6"/>
      <c r="H862" s="6"/>
      <c r="I862" s="6"/>
      <c r="J862" s="6"/>
      <c r="K862" s="6"/>
      <c r="L862" s="6"/>
      <c r="M862" s="6"/>
      <c r="N862" s="6"/>
      <c r="O862" s="6"/>
      <c r="P862" s="6"/>
      <c r="Q862" s="6"/>
      <c r="R862" s="6"/>
      <c r="S862" s="6"/>
      <c r="T862" s="6"/>
      <c r="U862" s="6"/>
      <c r="V862" s="6"/>
      <c r="W862" s="6"/>
      <c r="X862" s="6"/>
      <c r="Y862" s="6"/>
      <c r="Z862" s="6"/>
    </row>
    <row r="863" ht="18.0" customHeight="1">
      <c r="A863" s="316">
        <v>11.1</v>
      </c>
      <c r="B863" s="312" t="s">
        <v>3007</v>
      </c>
      <c r="C863" s="20"/>
      <c r="D863" s="20"/>
      <c r="E863" s="20"/>
      <c r="F863" s="6"/>
      <c r="G863" s="6"/>
      <c r="H863" s="6"/>
      <c r="I863" s="6"/>
      <c r="J863" s="6"/>
      <c r="K863" s="6"/>
      <c r="L863" s="6"/>
      <c r="M863" s="6"/>
      <c r="N863" s="6"/>
      <c r="O863" s="6"/>
      <c r="P863" s="6"/>
      <c r="Q863" s="6"/>
      <c r="R863" s="6"/>
      <c r="S863" s="6"/>
      <c r="T863" s="6"/>
      <c r="U863" s="6"/>
      <c r="V863" s="6"/>
      <c r="W863" s="6"/>
      <c r="X863" s="6"/>
      <c r="Y863" s="6"/>
      <c r="Z863" s="6"/>
    </row>
    <row r="864" ht="18.0" customHeight="1">
      <c r="A864" s="315" t="s">
        <v>989</v>
      </c>
      <c r="B864" s="312" t="s">
        <v>3008</v>
      </c>
      <c r="C864" s="20"/>
      <c r="D864" s="20"/>
      <c r="E864" s="20"/>
      <c r="F864" s="6"/>
      <c r="G864" s="6"/>
      <c r="H864" s="6"/>
      <c r="I864" s="6"/>
      <c r="J864" s="6"/>
      <c r="K864" s="6"/>
      <c r="L864" s="6"/>
      <c r="M864" s="6"/>
      <c r="N864" s="6"/>
      <c r="O864" s="6"/>
      <c r="P864" s="6"/>
      <c r="Q864" s="6"/>
      <c r="R864" s="6"/>
      <c r="S864" s="6"/>
      <c r="T864" s="6"/>
      <c r="U864" s="6"/>
      <c r="V864" s="6"/>
      <c r="W864" s="6"/>
      <c r="X864" s="6"/>
      <c r="Y864" s="6"/>
      <c r="Z864" s="6"/>
    </row>
    <row r="865" ht="18.0" customHeight="1">
      <c r="A865" s="315" t="s">
        <v>1044</v>
      </c>
      <c r="B865" s="312" t="s">
        <v>3009</v>
      </c>
      <c r="C865" s="20"/>
      <c r="D865" s="20"/>
      <c r="E865" s="20"/>
      <c r="F865" s="6"/>
      <c r="G865" s="6"/>
      <c r="H865" s="6"/>
      <c r="I865" s="6"/>
      <c r="J865" s="6"/>
      <c r="K865" s="6"/>
      <c r="L865" s="6"/>
      <c r="M865" s="6"/>
      <c r="N865" s="6"/>
      <c r="O865" s="6"/>
      <c r="P865" s="6"/>
      <c r="Q865" s="6"/>
      <c r="R865" s="6"/>
      <c r="S865" s="6"/>
      <c r="T865" s="6"/>
      <c r="U865" s="6"/>
      <c r="V865" s="6"/>
      <c r="W865" s="6"/>
      <c r="X865" s="6"/>
      <c r="Y865" s="6"/>
      <c r="Z865" s="6"/>
    </row>
    <row r="866" ht="18.0" customHeight="1">
      <c r="A866" s="316">
        <v>11.2</v>
      </c>
      <c r="B866" s="312" t="s">
        <v>3010</v>
      </c>
      <c r="C866" s="20"/>
      <c r="D866" s="20"/>
      <c r="E866" s="20"/>
      <c r="F866" s="6"/>
      <c r="G866" s="6"/>
      <c r="H866" s="6"/>
      <c r="I866" s="6"/>
      <c r="J866" s="6"/>
      <c r="K866" s="6"/>
      <c r="L866" s="6"/>
      <c r="M866" s="6"/>
      <c r="N866" s="6"/>
      <c r="O866" s="6"/>
      <c r="P866" s="6"/>
      <c r="Q866" s="6"/>
      <c r="R866" s="6"/>
      <c r="S866" s="6"/>
      <c r="T866" s="6"/>
      <c r="U866" s="6"/>
      <c r="V866" s="6"/>
      <c r="W866" s="6"/>
      <c r="X866" s="6"/>
      <c r="Y866" s="6"/>
      <c r="Z866" s="6"/>
    </row>
    <row r="867" ht="18.0" customHeight="1">
      <c r="A867" s="315" t="s">
        <v>998</v>
      </c>
      <c r="B867" s="312" t="s">
        <v>3011</v>
      </c>
      <c r="C867" s="20"/>
      <c r="D867" s="20"/>
      <c r="E867" s="20"/>
      <c r="F867" s="6"/>
      <c r="G867" s="6"/>
      <c r="H867" s="6"/>
      <c r="I867" s="6"/>
      <c r="J867" s="6"/>
      <c r="K867" s="6"/>
      <c r="L867" s="6"/>
      <c r="M867" s="6"/>
      <c r="N867" s="6"/>
      <c r="O867" s="6"/>
      <c r="P867" s="6"/>
      <c r="Q867" s="6"/>
      <c r="R867" s="6"/>
      <c r="S867" s="6"/>
      <c r="T867" s="6"/>
      <c r="U867" s="6"/>
      <c r="V867" s="6"/>
      <c r="W867" s="6"/>
      <c r="X867" s="6"/>
      <c r="Y867" s="6"/>
      <c r="Z867" s="6"/>
    </row>
    <row r="868" ht="18.0" customHeight="1">
      <c r="A868" s="315" t="s">
        <v>1630</v>
      </c>
      <c r="B868" s="312" t="s">
        <v>3012</v>
      </c>
      <c r="C868" s="20"/>
      <c r="D868" s="20"/>
      <c r="E868" s="20"/>
      <c r="F868" s="6"/>
      <c r="G868" s="6"/>
      <c r="H868" s="6"/>
      <c r="I868" s="6"/>
      <c r="J868" s="6"/>
      <c r="K868" s="6"/>
      <c r="L868" s="6"/>
      <c r="M868" s="6"/>
      <c r="N868" s="6"/>
      <c r="O868" s="6"/>
      <c r="P868" s="6"/>
      <c r="Q868" s="6"/>
      <c r="R868" s="6"/>
      <c r="S868" s="6"/>
      <c r="T868" s="6"/>
      <c r="U868" s="6"/>
      <c r="V868" s="6"/>
      <c r="W868" s="6"/>
      <c r="X868" s="6"/>
      <c r="Y868" s="6"/>
      <c r="Z868" s="6"/>
    </row>
    <row r="869" ht="18.0" customHeight="1">
      <c r="A869" s="315" t="s">
        <v>1632</v>
      </c>
      <c r="B869" s="312" t="s">
        <v>3013</v>
      </c>
      <c r="C869" s="20"/>
      <c r="D869" s="20"/>
      <c r="E869" s="20"/>
      <c r="F869" s="6"/>
      <c r="G869" s="6"/>
      <c r="H869" s="6"/>
      <c r="I869" s="6"/>
      <c r="J869" s="6"/>
      <c r="K869" s="6"/>
      <c r="L869" s="6"/>
      <c r="M869" s="6"/>
      <c r="N869" s="6"/>
      <c r="O869" s="6"/>
      <c r="P869" s="6"/>
      <c r="Q869" s="6"/>
      <c r="R869" s="6"/>
      <c r="S869" s="6"/>
      <c r="T869" s="6"/>
      <c r="U869" s="6"/>
      <c r="V869" s="6"/>
      <c r="W869" s="6"/>
      <c r="X869" s="6"/>
      <c r="Y869" s="6"/>
      <c r="Z869" s="6"/>
    </row>
    <row r="870" ht="18.0" customHeight="1">
      <c r="A870" s="316">
        <v>11.3</v>
      </c>
      <c r="B870" s="312" t="s">
        <v>3014</v>
      </c>
      <c r="C870" s="20"/>
      <c r="D870" s="20"/>
      <c r="E870" s="20"/>
      <c r="F870" s="6"/>
      <c r="G870" s="6"/>
      <c r="H870" s="6"/>
      <c r="I870" s="6"/>
      <c r="J870" s="6"/>
      <c r="K870" s="6"/>
      <c r="L870" s="6"/>
      <c r="M870" s="6"/>
      <c r="N870" s="6"/>
      <c r="O870" s="6"/>
      <c r="P870" s="6"/>
      <c r="Q870" s="6"/>
      <c r="R870" s="6"/>
      <c r="S870" s="6"/>
      <c r="T870" s="6"/>
      <c r="U870" s="6"/>
      <c r="V870" s="6"/>
      <c r="W870" s="6"/>
      <c r="X870" s="6"/>
      <c r="Y870" s="6"/>
      <c r="Z870" s="6"/>
    </row>
    <row r="871" ht="18.0" customHeight="1">
      <c r="A871" s="315" t="s">
        <v>3015</v>
      </c>
      <c r="B871" s="312" t="s">
        <v>3016</v>
      </c>
      <c r="C871" s="20"/>
      <c r="D871" s="20"/>
      <c r="E871" s="20"/>
      <c r="F871" s="6"/>
      <c r="G871" s="6"/>
      <c r="H871" s="6"/>
      <c r="I871" s="6"/>
      <c r="J871" s="6"/>
      <c r="K871" s="6"/>
      <c r="L871" s="6"/>
      <c r="M871" s="6"/>
      <c r="N871" s="6"/>
      <c r="O871" s="6"/>
      <c r="P871" s="6"/>
      <c r="Q871" s="6"/>
      <c r="R871" s="6"/>
      <c r="S871" s="6"/>
      <c r="T871" s="6"/>
      <c r="U871" s="6"/>
      <c r="V871" s="6"/>
      <c r="W871" s="6"/>
      <c r="X871" s="6"/>
      <c r="Y871" s="6"/>
      <c r="Z871" s="6"/>
    </row>
    <row r="872" ht="18.0" customHeight="1">
      <c r="A872" s="315" t="s">
        <v>3017</v>
      </c>
      <c r="B872" s="312" t="s">
        <v>3018</v>
      </c>
      <c r="C872" s="20"/>
      <c r="D872" s="20"/>
      <c r="E872" s="20"/>
      <c r="F872" s="6"/>
      <c r="G872" s="6"/>
      <c r="H872" s="6"/>
      <c r="I872" s="6"/>
      <c r="J872" s="6"/>
      <c r="K872" s="6"/>
      <c r="L872" s="6"/>
      <c r="M872" s="6"/>
      <c r="N872" s="6"/>
      <c r="O872" s="6"/>
      <c r="P872" s="6"/>
      <c r="Q872" s="6"/>
      <c r="R872" s="6"/>
      <c r="S872" s="6"/>
      <c r="T872" s="6"/>
      <c r="U872" s="6"/>
      <c r="V872" s="6"/>
      <c r="W872" s="6"/>
      <c r="X872" s="6"/>
      <c r="Y872" s="6"/>
      <c r="Z872" s="6"/>
    </row>
    <row r="873" ht="18.0" customHeight="1">
      <c r="A873" s="315" t="s">
        <v>3019</v>
      </c>
      <c r="B873" s="312" t="s">
        <v>3020</v>
      </c>
      <c r="C873" s="20"/>
      <c r="D873" s="20"/>
      <c r="E873" s="20"/>
      <c r="F873" s="6"/>
      <c r="G873" s="6"/>
      <c r="H873" s="6"/>
      <c r="I873" s="6"/>
      <c r="J873" s="6"/>
      <c r="K873" s="6"/>
      <c r="L873" s="6"/>
      <c r="M873" s="6"/>
      <c r="N873" s="6"/>
      <c r="O873" s="6"/>
      <c r="P873" s="6"/>
      <c r="Q873" s="6"/>
      <c r="R873" s="6"/>
      <c r="S873" s="6"/>
      <c r="T873" s="6"/>
      <c r="U873" s="6"/>
      <c r="V873" s="6"/>
      <c r="W873" s="6"/>
      <c r="X873" s="6"/>
      <c r="Y873" s="6"/>
      <c r="Z873" s="6"/>
    </row>
    <row r="874" ht="18.0" customHeight="1">
      <c r="A874" s="315" t="s">
        <v>3021</v>
      </c>
      <c r="B874" s="312" t="s">
        <v>3022</v>
      </c>
      <c r="C874" s="20"/>
      <c r="D874" s="20"/>
      <c r="E874" s="20"/>
      <c r="F874" s="6"/>
      <c r="G874" s="6"/>
      <c r="H874" s="6"/>
      <c r="I874" s="6"/>
      <c r="J874" s="6"/>
      <c r="K874" s="6"/>
      <c r="L874" s="6"/>
      <c r="M874" s="6"/>
      <c r="N874" s="6"/>
      <c r="O874" s="6"/>
      <c r="P874" s="6"/>
      <c r="Q874" s="6"/>
      <c r="R874" s="6"/>
      <c r="S874" s="6"/>
      <c r="T874" s="6"/>
      <c r="U874" s="6"/>
      <c r="V874" s="6"/>
      <c r="W874" s="6"/>
      <c r="X874" s="6"/>
      <c r="Y874" s="6"/>
      <c r="Z874" s="6"/>
    </row>
    <row r="875" ht="18.0" customHeight="1">
      <c r="A875" s="315" t="s">
        <v>3023</v>
      </c>
      <c r="B875" s="312" t="s">
        <v>3024</v>
      </c>
      <c r="C875" s="20"/>
      <c r="D875" s="20"/>
      <c r="E875" s="20"/>
      <c r="F875" s="6"/>
      <c r="G875" s="6"/>
      <c r="H875" s="6"/>
      <c r="I875" s="6"/>
      <c r="J875" s="6"/>
      <c r="K875" s="6"/>
      <c r="L875" s="6"/>
      <c r="M875" s="6"/>
      <c r="N875" s="6"/>
      <c r="O875" s="6"/>
      <c r="P875" s="6"/>
      <c r="Q875" s="6"/>
      <c r="R875" s="6"/>
      <c r="S875" s="6"/>
      <c r="T875" s="6"/>
      <c r="U875" s="6"/>
      <c r="V875" s="6"/>
      <c r="W875" s="6"/>
      <c r="X875" s="6"/>
      <c r="Y875" s="6"/>
      <c r="Z875" s="6"/>
    </row>
    <row r="876" ht="18.0" customHeight="1">
      <c r="A876" s="316">
        <v>11.4</v>
      </c>
      <c r="B876" s="312" t="s">
        <v>3025</v>
      </c>
      <c r="C876" s="20"/>
      <c r="D876" s="20"/>
      <c r="E876" s="20"/>
      <c r="F876" s="6"/>
      <c r="G876" s="6"/>
      <c r="H876" s="6"/>
      <c r="I876" s="6"/>
      <c r="J876" s="6"/>
      <c r="K876" s="6"/>
      <c r="L876" s="6"/>
      <c r="M876" s="6"/>
      <c r="N876" s="6"/>
      <c r="O876" s="6"/>
      <c r="P876" s="6"/>
      <c r="Q876" s="6"/>
      <c r="R876" s="6"/>
      <c r="S876" s="6"/>
      <c r="T876" s="6"/>
      <c r="U876" s="6"/>
      <c r="V876" s="6"/>
      <c r="W876" s="6"/>
      <c r="X876" s="6"/>
      <c r="Y876" s="6"/>
      <c r="Z876" s="6"/>
    </row>
    <row r="877" ht="18.0" customHeight="1">
      <c r="A877" s="316">
        <v>11.5</v>
      </c>
      <c r="B877" s="312" t="s">
        <v>3026</v>
      </c>
      <c r="C877" s="20"/>
      <c r="D877" s="20"/>
      <c r="E877" s="20"/>
      <c r="F877" s="6"/>
      <c r="G877" s="6"/>
      <c r="H877" s="6"/>
      <c r="I877" s="6"/>
      <c r="J877" s="6"/>
      <c r="K877" s="6"/>
      <c r="L877" s="6"/>
      <c r="M877" s="6"/>
      <c r="N877" s="6"/>
      <c r="O877" s="6"/>
      <c r="P877" s="6"/>
      <c r="Q877" s="6"/>
      <c r="R877" s="6"/>
      <c r="S877" s="6"/>
      <c r="T877" s="6"/>
      <c r="U877" s="6"/>
      <c r="V877" s="6"/>
      <c r="W877" s="6"/>
      <c r="X877" s="6"/>
      <c r="Y877" s="6"/>
      <c r="Z877" s="6"/>
    </row>
    <row r="878" ht="18.0" customHeight="1">
      <c r="A878" s="315" t="s">
        <v>3027</v>
      </c>
      <c r="B878" s="312" t="s">
        <v>3028</v>
      </c>
      <c r="C878" s="20"/>
      <c r="D878" s="20"/>
      <c r="E878" s="20"/>
      <c r="F878" s="6"/>
      <c r="G878" s="6"/>
      <c r="H878" s="6"/>
      <c r="I878" s="6"/>
      <c r="J878" s="6"/>
      <c r="K878" s="6"/>
      <c r="L878" s="6"/>
      <c r="M878" s="6"/>
      <c r="N878" s="6"/>
      <c r="O878" s="6"/>
      <c r="P878" s="6"/>
      <c r="Q878" s="6"/>
      <c r="R878" s="6"/>
      <c r="S878" s="6"/>
      <c r="T878" s="6"/>
      <c r="U878" s="6"/>
      <c r="V878" s="6"/>
      <c r="W878" s="6"/>
      <c r="X878" s="6"/>
      <c r="Y878" s="6"/>
      <c r="Z878" s="6"/>
    </row>
    <row r="879" ht="18.0" customHeight="1">
      <c r="A879" s="316">
        <v>11.6</v>
      </c>
      <c r="B879" s="312" t="s">
        <v>3029</v>
      </c>
      <c r="C879" s="20"/>
      <c r="D879" s="20"/>
      <c r="E879" s="20"/>
      <c r="F879" s="6"/>
      <c r="G879" s="6"/>
      <c r="H879" s="6"/>
      <c r="I879" s="6"/>
      <c r="J879" s="6"/>
      <c r="K879" s="6"/>
      <c r="L879" s="6"/>
      <c r="M879" s="6"/>
      <c r="N879" s="6"/>
      <c r="O879" s="6"/>
      <c r="P879" s="6"/>
      <c r="Q879" s="6"/>
      <c r="R879" s="6"/>
      <c r="S879" s="6"/>
      <c r="T879" s="6"/>
      <c r="U879" s="6"/>
      <c r="V879" s="6"/>
      <c r="W879" s="6"/>
      <c r="X879" s="6"/>
      <c r="Y879" s="6"/>
      <c r="Z879" s="6"/>
    </row>
    <row r="880" ht="18.0" customHeight="1">
      <c r="A880" s="315" t="s">
        <v>876</v>
      </c>
      <c r="B880" s="312" t="s">
        <v>3030</v>
      </c>
      <c r="C880" s="20"/>
      <c r="D880" s="20"/>
      <c r="E880" s="20"/>
      <c r="F880" s="6"/>
      <c r="G880" s="6"/>
      <c r="H880" s="6"/>
      <c r="I880" s="6"/>
      <c r="J880" s="6"/>
      <c r="K880" s="6"/>
      <c r="L880" s="6"/>
      <c r="M880" s="6"/>
      <c r="N880" s="6"/>
      <c r="O880" s="6"/>
      <c r="P880" s="6"/>
      <c r="Q880" s="6"/>
      <c r="R880" s="6"/>
      <c r="S880" s="6"/>
      <c r="T880" s="6"/>
      <c r="U880" s="6"/>
      <c r="V880" s="6"/>
      <c r="W880" s="6"/>
      <c r="X880" s="6"/>
      <c r="Y880" s="6"/>
      <c r="Z880" s="6"/>
    </row>
    <row r="881" ht="18.0" customHeight="1">
      <c r="A881" s="316">
        <v>12.1</v>
      </c>
      <c r="B881" s="312" t="s">
        <v>3031</v>
      </c>
      <c r="C881" s="20"/>
      <c r="D881" s="20"/>
      <c r="E881" s="20"/>
      <c r="F881" s="6"/>
      <c r="G881" s="6"/>
      <c r="H881" s="6"/>
      <c r="I881" s="6"/>
      <c r="J881" s="6"/>
      <c r="K881" s="6"/>
      <c r="L881" s="6"/>
      <c r="M881" s="6"/>
      <c r="N881" s="6"/>
      <c r="O881" s="6"/>
      <c r="P881" s="6"/>
      <c r="Q881" s="6"/>
      <c r="R881" s="6"/>
      <c r="S881" s="6"/>
      <c r="T881" s="6"/>
      <c r="U881" s="6"/>
      <c r="V881" s="6"/>
      <c r="W881" s="6"/>
      <c r="X881" s="6"/>
      <c r="Y881" s="6"/>
      <c r="Z881" s="6"/>
    </row>
    <row r="882" ht="18.0" customHeight="1">
      <c r="A882" s="315" t="s">
        <v>868</v>
      </c>
      <c r="B882" s="312" t="s">
        <v>3032</v>
      </c>
      <c r="C882" s="20"/>
      <c r="D882" s="20"/>
      <c r="E882" s="20"/>
      <c r="F882" s="6"/>
      <c r="G882" s="6"/>
      <c r="H882" s="6"/>
      <c r="I882" s="6"/>
      <c r="J882" s="6"/>
      <c r="K882" s="6"/>
      <c r="L882" s="6"/>
      <c r="M882" s="6"/>
      <c r="N882" s="6"/>
      <c r="O882" s="6"/>
      <c r="P882" s="6"/>
      <c r="Q882" s="6"/>
      <c r="R882" s="6"/>
      <c r="S882" s="6"/>
      <c r="T882" s="6"/>
      <c r="U882" s="6"/>
      <c r="V882" s="6"/>
      <c r="W882" s="6"/>
      <c r="X882" s="6"/>
      <c r="Y882" s="6"/>
      <c r="Z882" s="6"/>
    </row>
    <row r="883" ht="18.0" customHeight="1">
      <c r="A883" s="316">
        <v>12.2</v>
      </c>
      <c r="B883" s="312" t="s">
        <v>3033</v>
      </c>
      <c r="C883" s="20"/>
      <c r="D883" s="20"/>
      <c r="E883" s="20"/>
      <c r="F883" s="6"/>
      <c r="G883" s="6"/>
      <c r="H883" s="6"/>
      <c r="I883" s="6"/>
      <c r="J883" s="6"/>
      <c r="K883" s="6"/>
      <c r="L883" s="6"/>
      <c r="M883" s="6"/>
      <c r="N883" s="6"/>
      <c r="O883" s="6"/>
      <c r="P883" s="6"/>
      <c r="Q883" s="6"/>
      <c r="R883" s="6"/>
      <c r="S883" s="6"/>
      <c r="T883" s="6"/>
      <c r="U883" s="6"/>
      <c r="V883" s="6"/>
      <c r="W883" s="6"/>
      <c r="X883" s="6"/>
      <c r="Y883" s="6"/>
      <c r="Z883" s="6"/>
    </row>
    <row r="884" ht="18.0" customHeight="1">
      <c r="A884" s="316">
        <v>12.3</v>
      </c>
      <c r="B884" s="312" t="s">
        <v>3034</v>
      </c>
      <c r="C884" s="20"/>
      <c r="D884" s="20"/>
      <c r="E884" s="20"/>
      <c r="F884" s="6"/>
      <c r="G884" s="6"/>
      <c r="H884" s="6"/>
      <c r="I884" s="6"/>
      <c r="J884" s="6"/>
      <c r="K884" s="6"/>
      <c r="L884" s="6"/>
      <c r="M884" s="6"/>
      <c r="N884" s="6"/>
      <c r="O884" s="6"/>
      <c r="P884" s="6"/>
      <c r="Q884" s="6"/>
      <c r="R884" s="6"/>
      <c r="S884" s="6"/>
      <c r="T884" s="6"/>
      <c r="U884" s="6"/>
      <c r="V884" s="6"/>
      <c r="W884" s="6"/>
      <c r="X884" s="6"/>
      <c r="Y884" s="6"/>
      <c r="Z884" s="6"/>
    </row>
    <row r="885" ht="18.0" customHeight="1">
      <c r="A885" s="315" t="s">
        <v>960</v>
      </c>
      <c r="B885" s="312" t="s">
        <v>3035</v>
      </c>
      <c r="C885" s="20"/>
      <c r="D885" s="20"/>
      <c r="E885" s="20"/>
      <c r="F885" s="6"/>
      <c r="G885" s="6"/>
      <c r="H885" s="6"/>
      <c r="I885" s="6"/>
      <c r="J885" s="6"/>
      <c r="K885" s="6"/>
      <c r="L885" s="6"/>
      <c r="M885" s="6"/>
      <c r="N885" s="6"/>
      <c r="O885" s="6"/>
      <c r="P885" s="6"/>
      <c r="Q885" s="6"/>
      <c r="R885" s="6"/>
      <c r="S885" s="6"/>
      <c r="T885" s="6"/>
      <c r="U885" s="6"/>
      <c r="V885" s="6"/>
      <c r="W885" s="6"/>
      <c r="X885" s="6"/>
      <c r="Y885" s="6"/>
      <c r="Z885" s="6"/>
    </row>
    <row r="886" ht="18.0" customHeight="1">
      <c r="A886" s="315" t="s">
        <v>3036</v>
      </c>
      <c r="B886" s="312" t="s">
        <v>3037</v>
      </c>
      <c r="C886" s="20"/>
      <c r="D886" s="20"/>
      <c r="E886" s="20"/>
      <c r="F886" s="6"/>
      <c r="G886" s="6"/>
      <c r="H886" s="6"/>
      <c r="I886" s="6"/>
      <c r="J886" s="6"/>
      <c r="K886" s="6"/>
      <c r="L886" s="6"/>
      <c r="M886" s="6"/>
      <c r="N886" s="6"/>
      <c r="O886" s="6"/>
      <c r="P886" s="6"/>
      <c r="Q886" s="6"/>
      <c r="R886" s="6"/>
      <c r="S886" s="6"/>
      <c r="T886" s="6"/>
      <c r="U886" s="6"/>
      <c r="V886" s="6"/>
      <c r="W886" s="6"/>
      <c r="X886" s="6"/>
      <c r="Y886" s="6"/>
      <c r="Z886" s="6"/>
    </row>
    <row r="887" ht="18.0" customHeight="1">
      <c r="A887" s="315" t="s">
        <v>3038</v>
      </c>
      <c r="B887" s="312" t="s">
        <v>3039</v>
      </c>
      <c r="C887" s="20"/>
      <c r="D887" s="20"/>
      <c r="E887" s="20"/>
      <c r="F887" s="6"/>
      <c r="G887" s="6"/>
      <c r="H887" s="6"/>
      <c r="I887" s="6"/>
      <c r="J887" s="6"/>
      <c r="K887" s="6"/>
      <c r="L887" s="6"/>
      <c r="M887" s="6"/>
      <c r="N887" s="6"/>
      <c r="O887" s="6"/>
      <c r="P887" s="6"/>
      <c r="Q887" s="6"/>
      <c r="R887" s="6"/>
      <c r="S887" s="6"/>
      <c r="T887" s="6"/>
      <c r="U887" s="6"/>
      <c r="V887" s="6"/>
      <c r="W887" s="6"/>
      <c r="X887" s="6"/>
      <c r="Y887" s="6"/>
      <c r="Z887" s="6"/>
    </row>
    <row r="888" ht="18.0" customHeight="1">
      <c r="A888" s="315" t="s">
        <v>3040</v>
      </c>
      <c r="B888" s="312" t="s">
        <v>3041</v>
      </c>
      <c r="C888" s="20"/>
      <c r="D888" s="20"/>
      <c r="E888" s="20"/>
      <c r="F888" s="6"/>
      <c r="G888" s="6"/>
      <c r="H888" s="6"/>
      <c r="I888" s="6"/>
      <c r="J888" s="6"/>
      <c r="K888" s="6"/>
      <c r="L888" s="6"/>
      <c r="M888" s="6"/>
      <c r="N888" s="6"/>
      <c r="O888" s="6"/>
      <c r="P888" s="6"/>
      <c r="Q888" s="6"/>
      <c r="R888" s="6"/>
      <c r="S888" s="6"/>
      <c r="T888" s="6"/>
      <c r="U888" s="6"/>
      <c r="V888" s="6"/>
      <c r="W888" s="6"/>
      <c r="X888" s="6"/>
      <c r="Y888" s="6"/>
      <c r="Z888" s="6"/>
    </row>
    <row r="889" ht="18.0" customHeight="1">
      <c r="A889" s="315" t="s">
        <v>3042</v>
      </c>
      <c r="B889" s="312" t="s">
        <v>3043</v>
      </c>
      <c r="C889" s="20"/>
      <c r="D889" s="20"/>
      <c r="E889" s="20"/>
      <c r="F889" s="6"/>
      <c r="G889" s="6"/>
      <c r="H889" s="6"/>
      <c r="I889" s="6"/>
      <c r="J889" s="6"/>
      <c r="K889" s="6"/>
      <c r="L889" s="6"/>
      <c r="M889" s="6"/>
      <c r="N889" s="6"/>
      <c r="O889" s="6"/>
      <c r="P889" s="6"/>
      <c r="Q889" s="6"/>
      <c r="R889" s="6"/>
      <c r="S889" s="6"/>
      <c r="T889" s="6"/>
      <c r="U889" s="6"/>
      <c r="V889" s="6"/>
      <c r="W889" s="6"/>
      <c r="X889" s="6"/>
      <c r="Y889" s="6"/>
      <c r="Z889" s="6"/>
    </row>
    <row r="890" ht="18.0" customHeight="1">
      <c r="A890" s="315" t="s">
        <v>3044</v>
      </c>
      <c r="B890" s="312" t="s">
        <v>3045</v>
      </c>
      <c r="C890" s="20"/>
      <c r="D890" s="20"/>
      <c r="E890" s="20"/>
      <c r="F890" s="6"/>
      <c r="G890" s="6"/>
      <c r="H890" s="6"/>
      <c r="I890" s="6"/>
      <c r="J890" s="6"/>
      <c r="K890" s="6"/>
      <c r="L890" s="6"/>
      <c r="M890" s="6"/>
      <c r="N890" s="6"/>
      <c r="O890" s="6"/>
      <c r="P890" s="6"/>
      <c r="Q890" s="6"/>
      <c r="R890" s="6"/>
      <c r="S890" s="6"/>
      <c r="T890" s="6"/>
      <c r="U890" s="6"/>
      <c r="V890" s="6"/>
      <c r="W890" s="6"/>
      <c r="X890" s="6"/>
      <c r="Y890" s="6"/>
      <c r="Z890" s="6"/>
    </row>
    <row r="891" ht="18.0" customHeight="1">
      <c r="A891" s="315" t="s">
        <v>3046</v>
      </c>
      <c r="B891" s="312" t="s">
        <v>3047</v>
      </c>
      <c r="C891" s="20"/>
      <c r="D891" s="20"/>
      <c r="E891" s="20"/>
      <c r="F891" s="6"/>
      <c r="G891" s="6"/>
      <c r="H891" s="6"/>
      <c r="I891" s="6"/>
      <c r="J891" s="6"/>
      <c r="K891" s="6"/>
      <c r="L891" s="6"/>
      <c r="M891" s="6"/>
      <c r="N891" s="6"/>
      <c r="O891" s="6"/>
      <c r="P891" s="6"/>
      <c r="Q891" s="6"/>
      <c r="R891" s="6"/>
      <c r="S891" s="6"/>
      <c r="T891" s="6"/>
      <c r="U891" s="6"/>
      <c r="V891" s="6"/>
      <c r="W891" s="6"/>
      <c r="X891" s="6"/>
      <c r="Y891" s="6"/>
      <c r="Z891" s="6"/>
    </row>
    <row r="892" ht="18.0" customHeight="1">
      <c r="A892" s="315" t="s">
        <v>3048</v>
      </c>
      <c r="B892" s="312" t="s">
        <v>3049</v>
      </c>
      <c r="C892" s="20"/>
      <c r="D892" s="20"/>
      <c r="E892" s="20"/>
      <c r="F892" s="6"/>
      <c r="G892" s="6"/>
      <c r="H892" s="6"/>
      <c r="I892" s="6"/>
      <c r="J892" s="6"/>
      <c r="K892" s="6"/>
      <c r="L892" s="6"/>
      <c r="M892" s="6"/>
      <c r="N892" s="6"/>
      <c r="O892" s="6"/>
      <c r="P892" s="6"/>
      <c r="Q892" s="6"/>
      <c r="R892" s="6"/>
      <c r="S892" s="6"/>
      <c r="T892" s="6"/>
      <c r="U892" s="6"/>
      <c r="V892" s="6"/>
      <c r="W892" s="6"/>
      <c r="X892" s="6"/>
      <c r="Y892" s="6"/>
      <c r="Z892" s="6"/>
    </row>
    <row r="893" ht="18.0" customHeight="1">
      <c r="A893" s="315" t="s">
        <v>3050</v>
      </c>
      <c r="B893" s="312" t="s">
        <v>3051</v>
      </c>
      <c r="C893" s="20"/>
      <c r="D893" s="20"/>
      <c r="E893" s="20"/>
      <c r="F893" s="6"/>
      <c r="G893" s="6"/>
      <c r="H893" s="6"/>
      <c r="I893" s="6"/>
      <c r="J893" s="6"/>
      <c r="K893" s="6"/>
      <c r="L893" s="6"/>
      <c r="M893" s="6"/>
      <c r="N893" s="6"/>
      <c r="O893" s="6"/>
      <c r="P893" s="6"/>
      <c r="Q893" s="6"/>
      <c r="R893" s="6"/>
      <c r="S893" s="6"/>
      <c r="T893" s="6"/>
      <c r="U893" s="6"/>
      <c r="V893" s="6"/>
      <c r="W893" s="6"/>
      <c r="X893" s="6"/>
      <c r="Y893" s="6"/>
      <c r="Z893" s="6"/>
    </row>
    <row r="894" ht="18.0" customHeight="1">
      <c r="A894" s="315" t="s">
        <v>3052</v>
      </c>
      <c r="B894" s="312" t="s">
        <v>3053</v>
      </c>
      <c r="C894" s="20"/>
      <c r="D894" s="20"/>
      <c r="E894" s="20"/>
      <c r="F894" s="6"/>
      <c r="G894" s="6"/>
      <c r="H894" s="6"/>
      <c r="I894" s="6"/>
      <c r="J894" s="6"/>
      <c r="K894" s="6"/>
      <c r="L894" s="6"/>
      <c r="M894" s="6"/>
      <c r="N894" s="6"/>
      <c r="O894" s="6"/>
      <c r="P894" s="6"/>
      <c r="Q894" s="6"/>
      <c r="R894" s="6"/>
      <c r="S894" s="6"/>
      <c r="T894" s="6"/>
      <c r="U894" s="6"/>
      <c r="V894" s="6"/>
      <c r="W894" s="6"/>
      <c r="X894" s="6"/>
      <c r="Y894" s="6"/>
      <c r="Z894" s="6"/>
    </row>
    <row r="895" ht="18.0" customHeight="1">
      <c r="A895" s="316">
        <v>12.4</v>
      </c>
      <c r="B895" s="312" t="s">
        <v>3054</v>
      </c>
      <c r="C895" s="20"/>
      <c r="D895" s="20"/>
      <c r="E895" s="20"/>
      <c r="F895" s="6"/>
      <c r="G895" s="6"/>
      <c r="H895" s="6"/>
      <c r="I895" s="6"/>
      <c r="J895" s="6"/>
      <c r="K895" s="6"/>
      <c r="L895" s="6"/>
      <c r="M895" s="6"/>
      <c r="N895" s="6"/>
      <c r="O895" s="6"/>
      <c r="P895" s="6"/>
      <c r="Q895" s="6"/>
      <c r="R895" s="6"/>
      <c r="S895" s="6"/>
      <c r="T895" s="6"/>
      <c r="U895" s="6"/>
      <c r="V895" s="6"/>
      <c r="W895" s="6"/>
      <c r="X895" s="6"/>
      <c r="Y895" s="6"/>
      <c r="Z895" s="6"/>
    </row>
    <row r="896" ht="18.0" customHeight="1">
      <c r="A896" s="315" t="s">
        <v>1013</v>
      </c>
      <c r="B896" s="312" t="s">
        <v>3055</v>
      </c>
      <c r="C896" s="20"/>
      <c r="D896" s="20"/>
      <c r="E896" s="20"/>
      <c r="F896" s="6"/>
      <c r="G896" s="6"/>
      <c r="H896" s="6"/>
      <c r="I896" s="6"/>
      <c r="J896" s="6"/>
      <c r="K896" s="6"/>
      <c r="L896" s="6"/>
      <c r="M896" s="6"/>
      <c r="N896" s="6"/>
      <c r="O896" s="6"/>
      <c r="P896" s="6"/>
      <c r="Q896" s="6"/>
      <c r="R896" s="6"/>
      <c r="S896" s="6"/>
      <c r="T896" s="6"/>
      <c r="U896" s="6"/>
      <c r="V896" s="6"/>
      <c r="W896" s="6"/>
      <c r="X896" s="6"/>
      <c r="Y896" s="6"/>
      <c r="Z896" s="6"/>
    </row>
    <row r="897" ht="18.0" customHeight="1">
      <c r="A897" s="316">
        <v>12.5</v>
      </c>
      <c r="B897" s="312" t="s">
        <v>3056</v>
      </c>
      <c r="C897" s="20"/>
      <c r="D897" s="20"/>
      <c r="E897" s="20"/>
      <c r="F897" s="6"/>
      <c r="G897" s="6"/>
      <c r="H897" s="6"/>
      <c r="I897" s="6"/>
      <c r="J897" s="6"/>
      <c r="K897" s="6"/>
      <c r="L897" s="6"/>
      <c r="M897" s="6"/>
      <c r="N897" s="6"/>
      <c r="O897" s="6"/>
      <c r="P897" s="6"/>
      <c r="Q897" s="6"/>
      <c r="R897" s="6"/>
      <c r="S897" s="6"/>
      <c r="T897" s="6"/>
      <c r="U897" s="6"/>
      <c r="V897" s="6"/>
      <c r="W897" s="6"/>
      <c r="X897" s="6"/>
      <c r="Y897" s="6"/>
      <c r="Z897" s="6"/>
    </row>
    <row r="898" ht="18.0" customHeight="1">
      <c r="A898" s="315" t="s">
        <v>865</v>
      </c>
      <c r="B898" s="312" t="s">
        <v>3057</v>
      </c>
      <c r="C898" s="20"/>
      <c r="D898" s="20"/>
      <c r="E898" s="20"/>
      <c r="F898" s="6"/>
      <c r="G898" s="6"/>
      <c r="H898" s="6"/>
      <c r="I898" s="6"/>
      <c r="J898" s="6"/>
      <c r="K898" s="6"/>
      <c r="L898" s="6"/>
      <c r="M898" s="6"/>
      <c r="N898" s="6"/>
      <c r="O898" s="6"/>
      <c r="P898" s="6"/>
      <c r="Q898" s="6"/>
      <c r="R898" s="6"/>
      <c r="S898" s="6"/>
      <c r="T898" s="6"/>
      <c r="U898" s="6"/>
      <c r="V898" s="6"/>
      <c r="W898" s="6"/>
      <c r="X898" s="6"/>
      <c r="Y898" s="6"/>
      <c r="Z898" s="6"/>
    </row>
    <row r="899" ht="18.0" customHeight="1">
      <c r="A899" s="315" t="s">
        <v>3058</v>
      </c>
      <c r="B899" s="312" t="s">
        <v>3059</v>
      </c>
      <c r="C899" s="20"/>
      <c r="D899" s="20"/>
      <c r="E899" s="20"/>
      <c r="F899" s="6"/>
      <c r="G899" s="6"/>
      <c r="H899" s="6"/>
      <c r="I899" s="6"/>
      <c r="J899" s="6"/>
      <c r="K899" s="6"/>
      <c r="L899" s="6"/>
      <c r="M899" s="6"/>
      <c r="N899" s="6"/>
      <c r="O899" s="6"/>
      <c r="P899" s="6"/>
      <c r="Q899" s="6"/>
      <c r="R899" s="6"/>
      <c r="S899" s="6"/>
      <c r="T899" s="6"/>
      <c r="U899" s="6"/>
      <c r="V899" s="6"/>
      <c r="W899" s="6"/>
      <c r="X899" s="6"/>
      <c r="Y899" s="6"/>
      <c r="Z899" s="6"/>
    </row>
    <row r="900" ht="18.0" customHeight="1">
      <c r="A900" s="315" t="s">
        <v>3060</v>
      </c>
      <c r="B900" s="312" t="s">
        <v>3061</v>
      </c>
      <c r="C900" s="20"/>
      <c r="D900" s="20"/>
      <c r="E900" s="20"/>
      <c r="F900" s="6"/>
      <c r="G900" s="6"/>
      <c r="H900" s="6"/>
      <c r="I900" s="6"/>
      <c r="J900" s="6"/>
      <c r="K900" s="6"/>
      <c r="L900" s="6"/>
      <c r="M900" s="6"/>
      <c r="N900" s="6"/>
      <c r="O900" s="6"/>
      <c r="P900" s="6"/>
      <c r="Q900" s="6"/>
      <c r="R900" s="6"/>
      <c r="S900" s="6"/>
      <c r="T900" s="6"/>
      <c r="U900" s="6"/>
      <c r="V900" s="6"/>
      <c r="W900" s="6"/>
      <c r="X900" s="6"/>
      <c r="Y900" s="6"/>
      <c r="Z900" s="6"/>
    </row>
    <row r="901" ht="18.0" customHeight="1">
      <c r="A901" s="315" t="s">
        <v>3062</v>
      </c>
      <c r="B901" s="312" t="s">
        <v>3063</v>
      </c>
      <c r="C901" s="20"/>
      <c r="D901" s="20"/>
      <c r="E901" s="20"/>
      <c r="F901" s="6"/>
      <c r="G901" s="6"/>
      <c r="H901" s="6"/>
      <c r="I901" s="6"/>
      <c r="J901" s="6"/>
      <c r="K901" s="6"/>
      <c r="L901" s="6"/>
      <c r="M901" s="6"/>
      <c r="N901" s="6"/>
      <c r="O901" s="6"/>
      <c r="P901" s="6"/>
      <c r="Q901" s="6"/>
      <c r="R901" s="6"/>
      <c r="S901" s="6"/>
      <c r="T901" s="6"/>
      <c r="U901" s="6"/>
      <c r="V901" s="6"/>
      <c r="W901" s="6"/>
      <c r="X901" s="6"/>
      <c r="Y901" s="6"/>
      <c r="Z901" s="6"/>
    </row>
    <row r="902" ht="18.0" customHeight="1">
      <c r="A902" s="315" t="s">
        <v>3064</v>
      </c>
      <c r="B902" s="312" t="s">
        <v>3065</v>
      </c>
      <c r="C902" s="20"/>
      <c r="D902" s="20"/>
      <c r="E902" s="20"/>
      <c r="F902" s="6"/>
      <c r="G902" s="6"/>
      <c r="H902" s="6"/>
      <c r="I902" s="6"/>
      <c r="J902" s="6"/>
      <c r="K902" s="6"/>
      <c r="L902" s="6"/>
      <c r="M902" s="6"/>
      <c r="N902" s="6"/>
      <c r="O902" s="6"/>
      <c r="P902" s="6"/>
      <c r="Q902" s="6"/>
      <c r="R902" s="6"/>
      <c r="S902" s="6"/>
      <c r="T902" s="6"/>
      <c r="U902" s="6"/>
      <c r="V902" s="6"/>
      <c r="W902" s="6"/>
      <c r="X902" s="6"/>
      <c r="Y902" s="6"/>
      <c r="Z902" s="6"/>
    </row>
    <row r="903" ht="18.0" customHeight="1">
      <c r="A903" s="316">
        <v>12.6</v>
      </c>
      <c r="B903" s="312" t="s">
        <v>3066</v>
      </c>
      <c r="C903" s="20"/>
      <c r="D903" s="20"/>
      <c r="E903" s="20"/>
      <c r="F903" s="6"/>
      <c r="G903" s="6"/>
      <c r="H903" s="6"/>
      <c r="I903" s="6"/>
      <c r="J903" s="6"/>
      <c r="K903" s="6"/>
      <c r="L903" s="6"/>
      <c r="M903" s="6"/>
      <c r="N903" s="6"/>
      <c r="O903" s="6"/>
      <c r="P903" s="6"/>
      <c r="Q903" s="6"/>
      <c r="R903" s="6"/>
      <c r="S903" s="6"/>
      <c r="T903" s="6"/>
      <c r="U903" s="6"/>
      <c r="V903" s="6"/>
      <c r="W903" s="6"/>
      <c r="X903" s="6"/>
      <c r="Y903" s="6"/>
      <c r="Z903" s="6"/>
    </row>
    <row r="904" ht="18.0" customHeight="1">
      <c r="A904" s="315" t="s">
        <v>935</v>
      </c>
      <c r="B904" s="312" t="s">
        <v>3067</v>
      </c>
      <c r="C904" s="20"/>
      <c r="D904" s="20"/>
      <c r="E904" s="20"/>
      <c r="F904" s="6"/>
      <c r="G904" s="6"/>
      <c r="H904" s="6"/>
      <c r="I904" s="6"/>
      <c r="J904" s="6"/>
      <c r="K904" s="6"/>
      <c r="L904" s="6"/>
      <c r="M904" s="6"/>
      <c r="N904" s="6"/>
      <c r="O904" s="6"/>
      <c r="P904" s="6"/>
      <c r="Q904" s="6"/>
      <c r="R904" s="6"/>
      <c r="S904" s="6"/>
      <c r="T904" s="6"/>
      <c r="U904" s="6"/>
      <c r="V904" s="6"/>
      <c r="W904" s="6"/>
      <c r="X904" s="6"/>
      <c r="Y904" s="6"/>
      <c r="Z904" s="6"/>
    </row>
    <row r="905" ht="18.0" customHeight="1">
      <c r="A905" s="315" t="s">
        <v>1662</v>
      </c>
      <c r="B905" s="312" t="s">
        <v>3068</v>
      </c>
      <c r="C905" s="20"/>
      <c r="D905" s="20"/>
      <c r="E905" s="20"/>
      <c r="F905" s="6"/>
      <c r="G905" s="6"/>
      <c r="H905" s="6"/>
      <c r="I905" s="6"/>
      <c r="J905" s="6"/>
      <c r="K905" s="6"/>
      <c r="L905" s="6"/>
      <c r="M905" s="6"/>
      <c r="N905" s="6"/>
      <c r="O905" s="6"/>
      <c r="P905" s="6"/>
      <c r="Q905" s="6"/>
      <c r="R905" s="6"/>
      <c r="S905" s="6"/>
      <c r="T905" s="6"/>
      <c r="U905" s="6"/>
      <c r="V905" s="6"/>
      <c r="W905" s="6"/>
      <c r="X905" s="6"/>
      <c r="Y905" s="6"/>
      <c r="Z905" s="6"/>
    </row>
    <row r="906" ht="18.0" customHeight="1">
      <c r="A906" s="316">
        <v>12.7</v>
      </c>
      <c r="B906" s="312" t="s">
        <v>3069</v>
      </c>
      <c r="C906" s="20"/>
      <c r="D906" s="20"/>
      <c r="E906" s="20"/>
      <c r="F906" s="6"/>
      <c r="G906" s="6"/>
      <c r="H906" s="6"/>
      <c r="I906" s="6"/>
      <c r="J906" s="6"/>
      <c r="K906" s="6"/>
      <c r="L906" s="6"/>
      <c r="M906" s="6"/>
      <c r="N906" s="6"/>
      <c r="O906" s="6"/>
      <c r="P906" s="6"/>
      <c r="Q906" s="6"/>
      <c r="R906" s="6"/>
      <c r="S906" s="6"/>
      <c r="T906" s="6"/>
      <c r="U906" s="6"/>
      <c r="V906" s="6"/>
      <c r="W906" s="6"/>
      <c r="X906" s="6"/>
      <c r="Y906" s="6"/>
      <c r="Z906" s="6"/>
    </row>
    <row r="907" ht="18.0" customHeight="1">
      <c r="A907" s="316">
        <v>12.8</v>
      </c>
      <c r="B907" s="312" t="s">
        <v>3070</v>
      </c>
      <c r="C907" s="20"/>
      <c r="D907" s="20"/>
      <c r="E907" s="20"/>
      <c r="F907" s="6"/>
      <c r="G907" s="6"/>
      <c r="H907" s="6"/>
      <c r="I907" s="6"/>
      <c r="J907" s="6"/>
      <c r="K907" s="6"/>
      <c r="L907" s="6"/>
      <c r="M907" s="6"/>
      <c r="N907" s="6"/>
      <c r="O907" s="6"/>
      <c r="P907" s="6"/>
      <c r="Q907" s="6"/>
      <c r="R907" s="6"/>
      <c r="S907" s="6"/>
      <c r="T907" s="6"/>
      <c r="U907" s="6"/>
      <c r="V907" s="6"/>
      <c r="W907" s="6"/>
      <c r="X907" s="6"/>
      <c r="Y907" s="6"/>
      <c r="Z907" s="6"/>
    </row>
    <row r="908" ht="18.0" customHeight="1">
      <c r="A908" s="315" t="s">
        <v>3071</v>
      </c>
      <c r="B908" s="312" t="s">
        <v>3072</v>
      </c>
      <c r="C908" s="20"/>
      <c r="D908" s="20"/>
      <c r="E908" s="20"/>
      <c r="F908" s="6"/>
      <c r="G908" s="6"/>
      <c r="H908" s="6"/>
      <c r="I908" s="6"/>
      <c r="J908" s="6"/>
      <c r="K908" s="6"/>
      <c r="L908" s="6"/>
      <c r="M908" s="6"/>
      <c r="N908" s="6"/>
      <c r="O908" s="6"/>
      <c r="P908" s="6"/>
      <c r="Q908" s="6"/>
      <c r="R908" s="6"/>
      <c r="S908" s="6"/>
      <c r="T908" s="6"/>
      <c r="U908" s="6"/>
      <c r="V908" s="6"/>
      <c r="W908" s="6"/>
      <c r="X908" s="6"/>
      <c r="Y908" s="6"/>
      <c r="Z908" s="6"/>
    </row>
    <row r="909" ht="18.0" customHeight="1">
      <c r="A909" s="315" t="s">
        <v>3073</v>
      </c>
      <c r="B909" s="312" t="s">
        <v>3074</v>
      </c>
      <c r="C909" s="20"/>
      <c r="D909" s="20"/>
      <c r="E909" s="20"/>
      <c r="F909" s="6"/>
      <c r="G909" s="6"/>
      <c r="H909" s="6"/>
      <c r="I909" s="6"/>
      <c r="J909" s="6"/>
      <c r="K909" s="6"/>
      <c r="L909" s="6"/>
      <c r="M909" s="6"/>
      <c r="N909" s="6"/>
      <c r="O909" s="6"/>
      <c r="P909" s="6"/>
      <c r="Q909" s="6"/>
      <c r="R909" s="6"/>
      <c r="S909" s="6"/>
      <c r="T909" s="6"/>
      <c r="U909" s="6"/>
      <c r="V909" s="6"/>
      <c r="W909" s="6"/>
      <c r="X909" s="6"/>
      <c r="Y909" s="6"/>
      <c r="Z909" s="6"/>
    </row>
    <row r="910" ht="18.0" customHeight="1">
      <c r="A910" s="315" t="s">
        <v>3075</v>
      </c>
      <c r="B910" s="312" t="s">
        <v>3076</v>
      </c>
      <c r="C910" s="20"/>
      <c r="D910" s="20"/>
      <c r="E910" s="20"/>
      <c r="F910" s="6"/>
      <c r="G910" s="6"/>
      <c r="H910" s="6"/>
      <c r="I910" s="6"/>
      <c r="J910" s="6"/>
      <c r="K910" s="6"/>
      <c r="L910" s="6"/>
      <c r="M910" s="6"/>
      <c r="N910" s="6"/>
      <c r="O910" s="6"/>
      <c r="P910" s="6"/>
      <c r="Q910" s="6"/>
      <c r="R910" s="6"/>
      <c r="S910" s="6"/>
      <c r="T910" s="6"/>
      <c r="U910" s="6"/>
      <c r="V910" s="6"/>
      <c r="W910" s="6"/>
      <c r="X910" s="6"/>
      <c r="Y910" s="6"/>
      <c r="Z910" s="6"/>
    </row>
    <row r="911" ht="18.0" customHeight="1">
      <c r="A911" s="315" t="s">
        <v>3077</v>
      </c>
      <c r="B911" s="312" t="s">
        <v>3078</v>
      </c>
      <c r="C911" s="20"/>
      <c r="D911" s="20"/>
      <c r="E911" s="20"/>
      <c r="F911" s="6"/>
      <c r="G911" s="6"/>
      <c r="H911" s="6"/>
      <c r="I911" s="6"/>
      <c r="J911" s="6"/>
      <c r="K911" s="6"/>
      <c r="L911" s="6"/>
      <c r="M911" s="6"/>
      <c r="N911" s="6"/>
      <c r="O911" s="6"/>
      <c r="P911" s="6"/>
      <c r="Q911" s="6"/>
      <c r="R911" s="6"/>
      <c r="S911" s="6"/>
      <c r="T911" s="6"/>
      <c r="U911" s="6"/>
      <c r="V911" s="6"/>
      <c r="W911" s="6"/>
      <c r="X911" s="6"/>
      <c r="Y911" s="6"/>
      <c r="Z911" s="6"/>
    </row>
    <row r="912" ht="18.0" customHeight="1">
      <c r="A912" s="315" t="s">
        <v>3079</v>
      </c>
      <c r="B912" s="312" t="s">
        <v>3080</v>
      </c>
      <c r="C912" s="20"/>
      <c r="D912" s="20"/>
      <c r="E912" s="20"/>
      <c r="F912" s="6"/>
      <c r="G912" s="6"/>
      <c r="H912" s="6"/>
      <c r="I912" s="6"/>
      <c r="J912" s="6"/>
      <c r="K912" s="6"/>
      <c r="L912" s="6"/>
      <c r="M912" s="6"/>
      <c r="N912" s="6"/>
      <c r="O912" s="6"/>
      <c r="P912" s="6"/>
      <c r="Q912" s="6"/>
      <c r="R912" s="6"/>
      <c r="S912" s="6"/>
      <c r="T912" s="6"/>
      <c r="U912" s="6"/>
      <c r="V912" s="6"/>
      <c r="W912" s="6"/>
      <c r="X912" s="6"/>
      <c r="Y912" s="6"/>
      <c r="Z912" s="6"/>
    </row>
    <row r="913" ht="18.0" customHeight="1">
      <c r="A913" s="316">
        <v>12.9</v>
      </c>
      <c r="B913" s="312" t="s">
        <v>3081</v>
      </c>
      <c r="C913" s="20"/>
      <c r="D913" s="20"/>
      <c r="E913" s="20"/>
      <c r="F913" s="6"/>
      <c r="G913" s="6"/>
      <c r="H913" s="6"/>
      <c r="I913" s="6"/>
      <c r="J913" s="6"/>
      <c r="K913" s="6"/>
      <c r="L913" s="6"/>
      <c r="M913" s="6"/>
      <c r="N913" s="6"/>
      <c r="O913" s="6"/>
      <c r="P913" s="6"/>
      <c r="Q913" s="6"/>
      <c r="R913" s="6"/>
      <c r="S913" s="6"/>
      <c r="T913" s="6"/>
      <c r="U913" s="6"/>
      <c r="V913" s="6"/>
      <c r="W913" s="6"/>
      <c r="X913" s="6"/>
      <c r="Y913" s="6"/>
      <c r="Z913" s="6"/>
    </row>
    <row r="914" ht="18.0" customHeight="1">
      <c r="A914" s="315" t="s">
        <v>3082</v>
      </c>
      <c r="B914" s="312" t="s">
        <v>3083</v>
      </c>
      <c r="C914" s="20"/>
      <c r="D914" s="20"/>
      <c r="E914" s="20"/>
      <c r="F914" s="6"/>
      <c r="G914" s="6"/>
      <c r="H914" s="6"/>
      <c r="I914" s="6"/>
      <c r="J914" s="6"/>
      <c r="K914" s="6"/>
      <c r="L914" s="6"/>
      <c r="M914" s="6"/>
      <c r="N914" s="6"/>
      <c r="O914" s="6"/>
      <c r="P914" s="6"/>
      <c r="Q914" s="6"/>
      <c r="R914" s="6"/>
      <c r="S914" s="6"/>
      <c r="T914" s="6"/>
      <c r="U914" s="6"/>
      <c r="V914" s="6"/>
      <c r="W914" s="6"/>
      <c r="X914" s="6"/>
      <c r="Y914" s="6"/>
      <c r="Z914" s="6"/>
    </row>
    <row r="915" ht="18.0" customHeight="1">
      <c r="A915" s="315" t="s">
        <v>3084</v>
      </c>
      <c r="B915" s="312" t="s">
        <v>3085</v>
      </c>
      <c r="C915" s="20"/>
      <c r="D915" s="20"/>
      <c r="E915" s="20"/>
      <c r="F915" s="6"/>
      <c r="G915" s="6"/>
      <c r="H915" s="6"/>
      <c r="I915" s="6"/>
      <c r="J915" s="6"/>
      <c r="K915" s="6"/>
      <c r="L915" s="6"/>
      <c r="M915" s="6"/>
      <c r="N915" s="6"/>
      <c r="O915" s="6"/>
      <c r="P915" s="6"/>
      <c r="Q915" s="6"/>
      <c r="R915" s="6"/>
      <c r="S915" s="6"/>
      <c r="T915" s="6"/>
      <c r="U915" s="6"/>
      <c r="V915" s="6"/>
      <c r="W915" s="6"/>
      <c r="X915" s="6"/>
      <c r="Y915" s="6"/>
      <c r="Z915" s="6"/>
    </row>
    <row r="916" ht="18.0" customHeight="1">
      <c r="A916" s="315" t="s">
        <v>3086</v>
      </c>
      <c r="B916" s="312" t="s">
        <v>3087</v>
      </c>
      <c r="C916" s="20"/>
      <c r="D916" s="20"/>
      <c r="E916" s="20"/>
      <c r="F916" s="6"/>
      <c r="G916" s="6"/>
      <c r="H916" s="6"/>
      <c r="I916" s="6"/>
      <c r="J916" s="6"/>
      <c r="K916" s="6"/>
      <c r="L916" s="6"/>
      <c r="M916" s="6"/>
      <c r="N916" s="6"/>
      <c r="O916" s="6"/>
      <c r="P916" s="6"/>
      <c r="Q916" s="6"/>
      <c r="R916" s="6"/>
      <c r="S916" s="6"/>
      <c r="T916" s="6"/>
      <c r="U916" s="6"/>
      <c r="V916" s="6"/>
      <c r="W916" s="6"/>
      <c r="X916" s="6"/>
      <c r="Y916" s="6"/>
      <c r="Z916" s="6"/>
    </row>
    <row r="917" ht="18.0" customHeight="1">
      <c r="A917" s="315" t="s">
        <v>3088</v>
      </c>
      <c r="B917" s="312" t="s">
        <v>3089</v>
      </c>
      <c r="C917" s="20"/>
      <c r="D917" s="20"/>
      <c r="E917" s="20"/>
      <c r="F917" s="6"/>
      <c r="G917" s="6"/>
      <c r="H917" s="6"/>
      <c r="I917" s="6"/>
      <c r="J917" s="6"/>
      <c r="K917" s="6"/>
      <c r="L917" s="6"/>
      <c r="M917" s="6"/>
      <c r="N917" s="6"/>
      <c r="O917" s="6"/>
      <c r="P917" s="6"/>
      <c r="Q917" s="6"/>
      <c r="R917" s="6"/>
      <c r="S917" s="6"/>
      <c r="T917" s="6"/>
      <c r="U917" s="6"/>
      <c r="V917" s="6"/>
      <c r="W917" s="6"/>
      <c r="X917" s="6"/>
      <c r="Y917" s="6"/>
      <c r="Z917" s="6"/>
    </row>
    <row r="918" ht="18.0" customHeight="1">
      <c r="A918" s="315" t="s">
        <v>3090</v>
      </c>
      <c r="B918" s="312" t="s">
        <v>3091</v>
      </c>
      <c r="C918" s="20"/>
      <c r="D918" s="20"/>
      <c r="E918" s="20"/>
      <c r="F918" s="6"/>
      <c r="G918" s="6"/>
      <c r="H918" s="6"/>
      <c r="I918" s="6"/>
      <c r="J918" s="6"/>
      <c r="K918" s="6"/>
      <c r="L918" s="6"/>
      <c r="M918" s="6"/>
      <c r="N918" s="6"/>
      <c r="O918" s="6"/>
      <c r="P918" s="6"/>
      <c r="Q918" s="6"/>
      <c r="R918" s="6"/>
      <c r="S918" s="6"/>
      <c r="T918" s="6"/>
      <c r="U918" s="6"/>
      <c r="V918" s="6"/>
      <c r="W918" s="6"/>
      <c r="X918" s="6"/>
      <c r="Y918" s="6"/>
      <c r="Z918" s="6"/>
    </row>
    <row r="919" ht="18.0" customHeight="1">
      <c r="A919" s="315" t="s">
        <v>3092</v>
      </c>
      <c r="B919" s="312" t="s">
        <v>3093</v>
      </c>
      <c r="C919" s="20"/>
      <c r="D919" s="20"/>
      <c r="E919" s="20"/>
      <c r="F919" s="6"/>
      <c r="G919" s="6"/>
      <c r="H919" s="6"/>
      <c r="I919" s="6"/>
      <c r="J919" s="6"/>
      <c r="K919" s="6"/>
      <c r="L919" s="6"/>
      <c r="M919" s="6"/>
      <c r="N919" s="6"/>
      <c r="O919" s="6"/>
      <c r="P919" s="6"/>
      <c r="Q919" s="6"/>
      <c r="R919" s="6"/>
      <c r="S919" s="6"/>
      <c r="T919" s="6"/>
      <c r="U919" s="6"/>
      <c r="V919" s="6"/>
      <c r="W919" s="6"/>
      <c r="X919" s="6"/>
      <c r="Y919" s="6"/>
      <c r="Z919" s="6"/>
    </row>
    <row r="920" ht="18.0" customHeight="1">
      <c r="A920" s="315" t="s">
        <v>3094</v>
      </c>
      <c r="B920" s="312" t="s">
        <v>3095</v>
      </c>
      <c r="C920" s="20"/>
      <c r="D920" s="20"/>
      <c r="E920" s="20"/>
      <c r="F920" s="6"/>
      <c r="G920" s="6"/>
      <c r="H920" s="6"/>
      <c r="I920" s="6"/>
      <c r="J920" s="6"/>
      <c r="K920" s="6"/>
      <c r="L920" s="6"/>
      <c r="M920" s="6"/>
      <c r="N920" s="6"/>
      <c r="O920" s="6"/>
      <c r="P920" s="6"/>
      <c r="Q920" s="6"/>
      <c r="R920" s="6"/>
      <c r="S920" s="6"/>
      <c r="T920" s="6"/>
      <c r="U920" s="6"/>
      <c r="V920" s="6"/>
      <c r="W920" s="6"/>
      <c r="X920" s="6"/>
      <c r="Y920" s="6"/>
      <c r="Z920" s="6"/>
    </row>
    <row r="921" ht="18.0" customHeight="1">
      <c r="A921" s="316">
        <v>12.11</v>
      </c>
      <c r="B921" s="312" t="s">
        <v>3096</v>
      </c>
      <c r="C921" s="20"/>
      <c r="D921" s="20"/>
      <c r="E921" s="20"/>
      <c r="F921" s="6"/>
      <c r="G921" s="6"/>
      <c r="H921" s="6"/>
      <c r="I921" s="6"/>
      <c r="J921" s="6"/>
      <c r="K921" s="6"/>
      <c r="L921" s="6"/>
      <c r="M921" s="6"/>
      <c r="N921" s="6"/>
      <c r="O921" s="6"/>
      <c r="P921" s="6"/>
      <c r="Q921" s="6"/>
      <c r="R921" s="6"/>
      <c r="S921" s="6"/>
      <c r="T921" s="6"/>
      <c r="U921" s="6"/>
      <c r="V921" s="6"/>
      <c r="W921" s="6"/>
      <c r="X921" s="6"/>
      <c r="Y921" s="6"/>
      <c r="Z921" s="6"/>
    </row>
    <row r="922" ht="18.0" customHeight="1">
      <c r="A922" s="315" t="s">
        <v>3097</v>
      </c>
      <c r="B922" s="312" t="s">
        <v>3098</v>
      </c>
      <c r="C922" s="20"/>
      <c r="D922" s="20"/>
      <c r="E922" s="20"/>
      <c r="F922" s="6"/>
      <c r="G922" s="6"/>
      <c r="H922" s="6"/>
      <c r="I922" s="6"/>
      <c r="J922" s="6"/>
      <c r="K922" s="6"/>
      <c r="L922" s="6"/>
      <c r="M922" s="6"/>
      <c r="N922" s="6"/>
      <c r="O922" s="6"/>
      <c r="P922" s="6"/>
      <c r="Q922" s="6"/>
      <c r="R922" s="6"/>
      <c r="S922" s="6"/>
      <c r="T922" s="6"/>
      <c r="U922" s="6"/>
      <c r="V922" s="6"/>
      <c r="W922" s="6"/>
      <c r="X922" s="6"/>
      <c r="Y922" s="6"/>
      <c r="Z922" s="6"/>
    </row>
    <row r="923" ht="30.0" customHeight="1">
      <c r="A923" s="287" t="s">
        <v>824</v>
      </c>
      <c r="B923" s="312" t="s">
        <v>3099</v>
      </c>
      <c r="C923" s="20"/>
      <c r="D923" s="20"/>
      <c r="E923" s="20"/>
      <c r="F923" s="6"/>
      <c r="G923" s="6"/>
      <c r="H923" s="6"/>
      <c r="I923" s="6"/>
      <c r="J923" s="6"/>
      <c r="K923" s="6"/>
      <c r="L923" s="6"/>
      <c r="M923" s="6"/>
      <c r="N923" s="6"/>
      <c r="O923" s="6"/>
      <c r="P923" s="6"/>
      <c r="Q923" s="6"/>
      <c r="R923" s="6"/>
      <c r="S923" s="6"/>
      <c r="T923" s="6"/>
      <c r="U923" s="6"/>
      <c r="V923" s="6"/>
      <c r="W923" s="6"/>
      <c r="X923" s="6"/>
      <c r="Y923" s="6"/>
      <c r="Z923" s="6"/>
    </row>
    <row r="924" ht="18.0" customHeight="1">
      <c r="A924" s="312" t="s">
        <v>810</v>
      </c>
      <c r="B924" s="312" t="s">
        <v>3100</v>
      </c>
      <c r="C924" s="20"/>
      <c r="D924" s="20"/>
      <c r="E924" s="20"/>
      <c r="F924" s="6"/>
      <c r="G924" s="6"/>
      <c r="H924" s="6"/>
      <c r="I924" s="6"/>
      <c r="J924" s="6"/>
      <c r="K924" s="6"/>
      <c r="L924" s="6"/>
      <c r="M924" s="6"/>
      <c r="N924" s="6"/>
      <c r="O924" s="6"/>
      <c r="P924" s="6"/>
      <c r="Q924" s="6"/>
      <c r="R924" s="6"/>
      <c r="S924" s="6"/>
      <c r="T924" s="6"/>
      <c r="U924" s="6"/>
      <c r="V924" s="6"/>
      <c r="W924" s="6"/>
      <c r="X924" s="6"/>
      <c r="Y924" s="6"/>
      <c r="Z924" s="6"/>
    </row>
    <row r="925" ht="18.0" customHeight="1">
      <c r="A925" s="312" t="s">
        <v>822</v>
      </c>
      <c r="B925" s="312" t="str">
        <f>CONCATENATE(B923,"; ",B924)</f>
        <v>All system components included in or connected to the cardholder data environment (CDE); The process of determining the CDE and subsequent PCI scope</v>
      </c>
      <c r="C925" s="20"/>
      <c r="D925" s="20"/>
      <c r="E925" s="20"/>
      <c r="F925" s="6"/>
      <c r="G925" s="6"/>
      <c r="H925" s="6"/>
      <c r="I925" s="6"/>
      <c r="J925" s="6"/>
      <c r="K925" s="6"/>
      <c r="L925" s="6"/>
      <c r="M925" s="6"/>
      <c r="N925" s="6"/>
      <c r="O925" s="6"/>
      <c r="P925" s="6"/>
      <c r="Q925" s="6"/>
      <c r="R925" s="6"/>
      <c r="S925" s="6"/>
      <c r="T925" s="6"/>
      <c r="U925" s="6"/>
      <c r="V925" s="6"/>
      <c r="W925" s="6"/>
      <c r="X925" s="6"/>
      <c r="Y925" s="6"/>
      <c r="Z925" s="6"/>
    </row>
    <row r="926" ht="18.0" customHeight="1">
      <c r="A926" s="312" t="s">
        <v>3101</v>
      </c>
      <c r="B926" s="312" t="str">
        <f>B923</f>
        <v>All system components included in or connected to the cardholder data environment (CDE)</v>
      </c>
      <c r="C926" s="20"/>
      <c r="D926" s="20"/>
      <c r="E926" s="20"/>
      <c r="F926" s="6"/>
      <c r="G926" s="6"/>
      <c r="H926" s="6"/>
      <c r="I926" s="6"/>
      <c r="J926" s="6"/>
      <c r="K926" s="6"/>
      <c r="L926" s="6"/>
      <c r="M926" s="6"/>
      <c r="N926" s="6"/>
      <c r="O926" s="6"/>
      <c r="P926" s="6"/>
      <c r="Q926" s="6"/>
      <c r="R926" s="6"/>
      <c r="S926" s="6"/>
      <c r="T926" s="6"/>
      <c r="U926" s="6"/>
      <c r="V926" s="6"/>
      <c r="W926" s="6"/>
      <c r="X926" s="6"/>
      <c r="Y926" s="6"/>
      <c r="Z926" s="6"/>
    </row>
    <row r="927" ht="28.5" customHeight="1">
      <c r="A927" s="317" t="s">
        <v>828</v>
      </c>
      <c r="B927" s="312" t="str">
        <f>CONCATENATE(B914,"; ",B923)</f>
        <v>Implement an incident response plan. Be prepared to respond immediately to a system breach.; All system components included in or connected to the cardholder data environment (CDE)</v>
      </c>
      <c r="C927" s="20"/>
      <c r="D927" s="20"/>
      <c r="E927" s="20"/>
      <c r="F927" s="6"/>
      <c r="G927" s="6"/>
      <c r="H927" s="6"/>
      <c r="I927" s="6"/>
      <c r="J927" s="6"/>
      <c r="K927" s="6"/>
      <c r="L927" s="6"/>
      <c r="M927" s="6"/>
      <c r="N927" s="6"/>
      <c r="O927" s="6"/>
      <c r="P927" s="6"/>
      <c r="Q927" s="6"/>
      <c r="R927" s="6"/>
      <c r="S927" s="6"/>
      <c r="T927" s="6"/>
      <c r="U927" s="6"/>
      <c r="V927" s="6"/>
      <c r="W927" s="6"/>
      <c r="X927" s="6"/>
      <c r="Y927" s="6"/>
      <c r="Z927" s="6"/>
    </row>
    <row r="928" ht="18.0" customHeight="1">
      <c r="A928" s="318" t="s">
        <v>831</v>
      </c>
      <c r="B928" s="312" t="str">
        <f>CONCATENATE(B907,"; ",B897)</f>
        <v>Maintain and implement policies and procedures to manage service providers, with whom cardholder data is shared, or that could affect the security of cardholder data, as follows; Assign to an individual or team the following information security management responsibilities:</v>
      </c>
      <c r="C928" s="20"/>
      <c r="D928" s="20"/>
      <c r="E928" s="20"/>
      <c r="F928" s="6"/>
      <c r="G928" s="6"/>
      <c r="H928" s="6"/>
      <c r="I928" s="6"/>
      <c r="J928" s="6"/>
      <c r="K928" s="6"/>
      <c r="L928" s="6"/>
      <c r="M928" s="6"/>
      <c r="N928" s="6"/>
      <c r="O928" s="6"/>
      <c r="P928" s="6"/>
      <c r="Q928" s="6"/>
      <c r="R928" s="6"/>
      <c r="S928" s="6"/>
      <c r="T928" s="6"/>
      <c r="U928" s="6"/>
      <c r="V928" s="6"/>
      <c r="W928" s="6"/>
      <c r="X928" s="6"/>
      <c r="Y928" s="6"/>
      <c r="Z928" s="6"/>
    </row>
    <row r="929" ht="18.0" customHeight="1">
      <c r="A929" s="312" t="s">
        <v>3102</v>
      </c>
      <c r="B929" s="312" t="str">
        <f>CONCATENATE(B907,"; ",B723)</f>
        <v>Maintain and implement policies and procedures to manage service providers, with whom cardholder data is shared, or that could affect the security of cardholder data, as follows; Never send unprotected PANs by end-user messaging technologies (for example, e-mail, instant messaging, SMS, chat, etc.).</v>
      </c>
      <c r="C929" s="20"/>
      <c r="D929" s="20"/>
      <c r="E929" s="20"/>
      <c r="F929" s="6"/>
      <c r="G929" s="6"/>
      <c r="H929" s="6"/>
      <c r="I929" s="6"/>
      <c r="J929" s="6"/>
      <c r="K929" s="6"/>
      <c r="L929" s="6"/>
      <c r="M929" s="6"/>
      <c r="N929" s="6"/>
      <c r="O929" s="6"/>
      <c r="P929" s="6"/>
      <c r="Q929" s="6"/>
      <c r="R929" s="6"/>
      <c r="S929" s="6"/>
      <c r="T929" s="6"/>
      <c r="U929" s="6"/>
      <c r="V929" s="6"/>
      <c r="W929" s="6"/>
      <c r="X929" s="6"/>
      <c r="Y929" s="6"/>
      <c r="Z929" s="6"/>
    </row>
    <row r="930" ht="18.0" customHeight="1">
      <c r="A930" s="318" t="s">
        <v>880</v>
      </c>
      <c r="B930" s="312" t="str">
        <f>CONCATENATE(B762,"; ",B773)</f>
        <v>Restrict access to cardholder data by business need to know; Assign a unique ID to each person with computer access</v>
      </c>
      <c r="C930" s="20"/>
      <c r="D930" s="20"/>
      <c r="E930" s="20"/>
      <c r="F930" s="6"/>
      <c r="G930" s="6"/>
      <c r="H930" s="6"/>
      <c r="I930" s="6"/>
      <c r="J930" s="6"/>
      <c r="K930" s="6"/>
      <c r="L930" s="6"/>
      <c r="M930" s="6"/>
      <c r="N930" s="6"/>
      <c r="O930" s="6"/>
      <c r="P930" s="6"/>
      <c r="Q930" s="6"/>
      <c r="R930" s="6"/>
      <c r="S930" s="6"/>
      <c r="T930" s="6"/>
      <c r="U930" s="6"/>
      <c r="V930" s="6"/>
      <c r="W930" s="6"/>
      <c r="X930" s="6"/>
      <c r="Y930" s="6"/>
      <c r="Z930" s="6"/>
    </row>
    <row r="931" ht="18.0" customHeight="1">
      <c r="A931" s="317" t="s">
        <v>891</v>
      </c>
      <c r="B931" s="312" t="str">
        <f>CONCATENATE(B684,"; ",B773)</f>
        <v>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payment applications, Simple Network Management Protocol (SNMP) community strings, etc.).; Assign a unique ID to each person with computer access</v>
      </c>
      <c r="C931" s="20"/>
      <c r="D931" s="20"/>
      <c r="E931" s="20"/>
      <c r="F931" s="6"/>
      <c r="G931" s="6"/>
      <c r="H931" s="6"/>
      <c r="I931" s="6"/>
      <c r="J931" s="6"/>
      <c r="K931" s="6"/>
      <c r="L931" s="6"/>
      <c r="M931" s="6"/>
      <c r="N931" s="6"/>
      <c r="O931" s="6"/>
      <c r="P931" s="6"/>
      <c r="Q931" s="6"/>
      <c r="R931" s="6"/>
      <c r="S931" s="6"/>
      <c r="T931" s="6"/>
      <c r="U931" s="6"/>
      <c r="V931" s="6"/>
      <c r="W931" s="6"/>
      <c r="X931" s="6"/>
      <c r="Y931" s="6"/>
      <c r="Z931" s="6"/>
    </row>
    <row r="932" ht="18.0" customHeight="1">
      <c r="A932" s="317" t="s">
        <v>3103</v>
      </c>
      <c r="B932" s="312" t="str">
        <f>CONCATENATE(B773,"; ",B723)</f>
        <v>Assign a unique ID to each person with computer access; Never send unprotected PANs by end-user messaging technologies (for example, e-mail, instant messaging, SMS, chat, etc.).</v>
      </c>
      <c r="C932" s="20"/>
      <c r="D932" s="20"/>
      <c r="E932" s="20"/>
      <c r="F932" s="6"/>
      <c r="G932" s="6"/>
      <c r="H932" s="6"/>
      <c r="I932" s="6"/>
      <c r="J932" s="6"/>
      <c r="K932" s="6"/>
      <c r="L932" s="6"/>
      <c r="M932" s="6"/>
      <c r="N932" s="6"/>
      <c r="O932" s="6"/>
      <c r="P932" s="6"/>
      <c r="Q932" s="6"/>
      <c r="R932" s="6"/>
      <c r="S932" s="6"/>
      <c r="T932" s="6"/>
      <c r="U932" s="6"/>
      <c r="V932" s="6"/>
      <c r="W932" s="6"/>
      <c r="X932" s="6"/>
      <c r="Y932" s="6"/>
      <c r="Z932" s="6"/>
    </row>
    <row r="933" ht="85.5" customHeight="1">
      <c r="A933" s="317" t="s">
        <v>906</v>
      </c>
      <c r="B933" s="312" t="str">
        <f>CONCATENATE(B828,"; ",B837,"; ",B848,"; ",B854,"; ",B858)</f>
        <v>Implement audit trails to link all access to system components to each individual user.; Record at least the following audit trail entries for all system components for each event:; Secure audit trails so they cannot be altered.; Review logs and security events for all system components to identify anomalies or suspicious activity. Note: Log harvesting, parsing, and alerting tools may be used to meet this Requirement.; Retain audit trail history for at least one year, with a minimum of three months immediately available for analysis (for example, online, archived, or restorable from backup).</v>
      </c>
      <c r="C933" s="20"/>
      <c r="D933" s="20"/>
      <c r="E933" s="20"/>
      <c r="F933" s="6"/>
      <c r="G933" s="6"/>
      <c r="H933" s="6"/>
      <c r="I933" s="6"/>
      <c r="J933" s="6"/>
      <c r="K933" s="6"/>
      <c r="L933" s="6"/>
      <c r="M933" s="6"/>
      <c r="N933" s="6"/>
      <c r="O933" s="6"/>
      <c r="P933" s="6"/>
      <c r="Q933" s="6"/>
      <c r="R933" s="6"/>
      <c r="S933" s="6"/>
      <c r="T933" s="6"/>
      <c r="U933" s="6"/>
      <c r="V933" s="6"/>
      <c r="W933" s="6"/>
      <c r="X933" s="6"/>
      <c r="Y933" s="6"/>
      <c r="Z933" s="6"/>
    </row>
    <row r="934" ht="57.0" customHeight="1">
      <c r="A934" s="317" t="s">
        <v>927</v>
      </c>
      <c r="B934" s="312" t="str">
        <f>CONCATENATE(B738,"; ",B749,"; ",B750,"; ",B751)</f>
        <v>Follow change control processes and procedures for all changes to system components. The processes must include the following:; 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 Injection flaws, particularly SQL injection. Also consider OS Command Injection, LDAP and XPath injection flaws as well as other injection flaws.; Buffer overflows</v>
      </c>
      <c r="C934" s="20"/>
      <c r="D934" s="20"/>
      <c r="E934" s="20"/>
      <c r="F934" s="6"/>
      <c r="G934" s="6"/>
      <c r="H934" s="6"/>
      <c r="I934" s="6"/>
      <c r="J934" s="6"/>
      <c r="K934" s="6"/>
      <c r="L934" s="6"/>
      <c r="M934" s="6"/>
      <c r="N934" s="6"/>
      <c r="O934" s="6"/>
      <c r="P934" s="6"/>
      <c r="Q934" s="6"/>
      <c r="R934" s="6"/>
      <c r="S934" s="6"/>
      <c r="T934" s="6"/>
      <c r="U934" s="6"/>
      <c r="V934" s="6"/>
      <c r="W934" s="6"/>
      <c r="X934" s="6"/>
      <c r="Y934" s="6"/>
      <c r="Z934" s="6"/>
    </row>
    <row r="935" ht="28.5" customHeight="1">
      <c r="A935" s="317" t="s">
        <v>930</v>
      </c>
      <c r="B935" s="312" t="str">
        <f>CONCATENATE(B738,"; ",B907,"; ",B913)</f>
        <v>Follow change control processes and procedures for all changes to system components. The processes must include the following:; Maintain and implement policies and procedures to manage service providers, with whom cardholder data is shared, or that could affect the security of cardholder data, as follows;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v>
      </c>
      <c r="C935" s="20"/>
      <c r="D935" s="20"/>
      <c r="E935" s="20"/>
      <c r="F935" s="6"/>
      <c r="G935" s="6"/>
      <c r="H935" s="6"/>
      <c r="I935" s="6"/>
      <c r="J935" s="6"/>
      <c r="K935" s="6"/>
      <c r="L935" s="6"/>
      <c r="M935" s="6"/>
      <c r="N935" s="6"/>
      <c r="O935" s="6"/>
      <c r="P935" s="6"/>
      <c r="Q935" s="6"/>
      <c r="R935" s="6"/>
      <c r="S935" s="6"/>
      <c r="T935" s="6"/>
      <c r="U935" s="6"/>
      <c r="V935" s="6"/>
      <c r="W935" s="6"/>
      <c r="X935" s="6"/>
      <c r="Y935" s="6"/>
      <c r="Z935" s="6"/>
    </row>
    <row r="936" ht="28.5" customHeight="1">
      <c r="A936" s="317" t="s">
        <v>931</v>
      </c>
      <c r="B936" s="312" t="str">
        <f>CONCATENATE(B881,"; ",B907)</f>
        <v>Establish, publish, maintain, and disseminate a security policy.; Maintain and implement policies and procedures to manage service providers, with whom cardholder data is shared, or that could affect the security of cardholder data, as follows</v>
      </c>
      <c r="C936" s="20"/>
      <c r="D936" s="20"/>
      <c r="E936" s="20"/>
      <c r="F936" s="6"/>
      <c r="G936" s="6"/>
      <c r="H936" s="6"/>
      <c r="I936" s="6"/>
      <c r="J936" s="6"/>
      <c r="K936" s="6"/>
      <c r="L936" s="6"/>
      <c r="M936" s="6"/>
      <c r="N936" s="6"/>
      <c r="O936" s="6"/>
      <c r="P936" s="6"/>
      <c r="Q936" s="6"/>
      <c r="R936" s="6"/>
      <c r="S936" s="6"/>
      <c r="T936" s="6"/>
      <c r="U936" s="6"/>
      <c r="V936" s="6"/>
      <c r="W936" s="6"/>
      <c r="X936" s="6"/>
      <c r="Y936" s="6"/>
      <c r="Z936" s="6"/>
    </row>
    <row r="937" ht="29.25" customHeight="1">
      <c r="A937" s="319" t="s">
        <v>936</v>
      </c>
      <c r="B937" s="312" t="str">
        <f>CONCATENATE(B881,"; ",B907,"; ",B734)</f>
        <v>Establish, publish, maintain, and disseminate a security policy.; Maintain and implement policies and procedures to manage service providers, with whom cardholder data is shared, or that could affect the security of cardholder data, as follows; Ensure that all system components and software are protected from known vulnerabilities by installing applicable vendor-supplied security patches. Install critical security patches within one month of release. Note: Critical security patches should be identified according to the risk ranking process defined in Requirement 6.1.</v>
      </c>
      <c r="C937" s="20"/>
      <c r="D937" s="20"/>
      <c r="E937" s="20"/>
      <c r="F937" s="6"/>
      <c r="G937" s="6"/>
      <c r="H937" s="6"/>
      <c r="I937" s="6"/>
      <c r="J937" s="6"/>
      <c r="K937" s="6"/>
      <c r="L937" s="6"/>
      <c r="M937" s="6"/>
      <c r="N937" s="6"/>
      <c r="O937" s="6"/>
      <c r="P937" s="6"/>
      <c r="Q937" s="6"/>
      <c r="R937" s="6"/>
      <c r="S937" s="6"/>
      <c r="T937" s="6"/>
      <c r="U937" s="6"/>
      <c r="V937" s="6"/>
      <c r="W937" s="6"/>
      <c r="X937" s="6"/>
      <c r="Y937" s="6"/>
      <c r="Z937" s="6"/>
    </row>
    <row r="938" ht="29.25" customHeight="1">
      <c r="A938" s="320" t="s">
        <v>938</v>
      </c>
      <c r="B938" s="321" t="str">
        <f>CONCATENATE(B882,"; ",B907)</f>
        <v>Review the security policy at least annually and update the policy when the environment changes.; Maintain and implement policies and procedures to manage service providers, with whom cardholder data is shared, or that could affect the security of cardholder data, as follows</v>
      </c>
      <c r="C938" s="20"/>
      <c r="D938" s="20"/>
      <c r="E938" s="20"/>
      <c r="F938" s="6"/>
      <c r="G938" s="6"/>
      <c r="H938" s="6"/>
      <c r="I938" s="6"/>
      <c r="J938" s="6"/>
      <c r="K938" s="6"/>
      <c r="L938" s="6"/>
      <c r="M938" s="6"/>
      <c r="N938" s="6"/>
      <c r="O938" s="6"/>
      <c r="P938" s="6"/>
      <c r="Q938" s="6"/>
      <c r="R938" s="6"/>
      <c r="S938" s="6"/>
      <c r="T938" s="6"/>
      <c r="U938" s="6"/>
      <c r="V938" s="6"/>
      <c r="W938" s="6"/>
      <c r="X938" s="6"/>
      <c r="Y938" s="6"/>
      <c r="Z938" s="6"/>
    </row>
    <row r="939" ht="43.5" customHeight="1">
      <c r="A939" s="320" t="s">
        <v>939</v>
      </c>
      <c r="B939" s="321" t="str">
        <f>CONCATENATE(B881,"; ",B882,"; ",B907)</f>
        <v>Establish, publish, maintain, and disseminate a security policy.; Review the security policy at least annually and update the policy when the environment changes.; Maintain and implement policies and procedures to manage service providers, with whom cardholder data is shared, or that could affect the security of cardholder data, as follows</v>
      </c>
      <c r="C939" s="20"/>
      <c r="D939" s="20"/>
      <c r="E939" s="20"/>
      <c r="F939" s="6"/>
      <c r="G939" s="6"/>
      <c r="H939" s="6"/>
      <c r="I939" s="6"/>
      <c r="J939" s="6"/>
      <c r="K939" s="6"/>
      <c r="L939" s="6"/>
      <c r="M939" s="6"/>
      <c r="N939" s="6"/>
      <c r="O939" s="6"/>
      <c r="P939" s="6"/>
      <c r="Q939" s="6"/>
      <c r="R939" s="6"/>
      <c r="S939" s="6"/>
      <c r="T939" s="6"/>
      <c r="U939" s="6"/>
      <c r="V939" s="6"/>
      <c r="W939" s="6"/>
      <c r="X939" s="6"/>
      <c r="Y939" s="6"/>
      <c r="Z939" s="6"/>
    </row>
    <row r="940" ht="29.25" customHeight="1">
      <c r="A940" s="320" t="s">
        <v>940</v>
      </c>
      <c r="B940" s="321" t="str">
        <f>CONCATENATE(B914,"; ",B907,"; ",B738)</f>
        <v>Implement an incident response plan. Be prepared to respond immediately to a system breach.; Maintain and implement policies and procedures to manage service providers, with whom cardholder data is shared, or that could affect the security of cardholder data, as follows; Follow change control processes and procedures for all changes to system components. The processes must include the following:</v>
      </c>
      <c r="C940" s="20"/>
      <c r="D940" s="20"/>
      <c r="E940" s="20"/>
      <c r="F940" s="6"/>
      <c r="G940" s="6"/>
      <c r="H940" s="6"/>
      <c r="I940" s="6"/>
      <c r="J940" s="6"/>
      <c r="K940" s="6"/>
      <c r="L940" s="6"/>
      <c r="M940" s="6"/>
      <c r="N940" s="6"/>
      <c r="O940" s="6"/>
      <c r="P940" s="6"/>
      <c r="Q940" s="6"/>
      <c r="R940" s="6"/>
      <c r="S940" s="6"/>
      <c r="T940" s="6"/>
      <c r="U940" s="6"/>
      <c r="V940" s="6"/>
      <c r="W940" s="6"/>
      <c r="X940" s="6"/>
      <c r="Y940" s="6"/>
      <c r="Z940" s="6"/>
    </row>
    <row r="941" ht="15.75" customHeight="1">
      <c r="A941" s="320" t="s">
        <v>946</v>
      </c>
      <c r="B941" s="321" t="str">
        <f>CONCATENATE(B910,"; ",B799)</f>
        <v>Ensure there is an established process for engaging service providers including proper due diligence prior to engagement.; Restrict physical access to cardholder data</v>
      </c>
      <c r="C941" s="20"/>
      <c r="D941" s="20"/>
      <c r="E941" s="20"/>
      <c r="F941" s="6"/>
      <c r="G941" s="6"/>
      <c r="H941" s="6"/>
      <c r="I941" s="6"/>
      <c r="J941" s="6"/>
      <c r="K941" s="6"/>
      <c r="L941" s="6"/>
      <c r="M941" s="6"/>
      <c r="N941" s="6"/>
      <c r="O941" s="6"/>
      <c r="P941" s="6"/>
      <c r="Q941" s="6"/>
      <c r="R941" s="6"/>
      <c r="S941" s="6"/>
      <c r="T941" s="6"/>
      <c r="U941" s="6"/>
      <c r="V941" s="6"/>
      <c r="W941" s="6"/>
      <c r="X941" s="6"/>
      <c r="Y941" s="6"/>
      <c r="Z941" s="6"/>
    </row>
    <row r="942" ht="15.75" customHeight="1">
      <c r="A942" s="320" t="s">
        <v>949</v>
      </c>
      <c r="B942" s="321" t="str">
        <f>CONCATENATE(B910,"; ",B721)</f>
        <v>Ensure there is an established process for engaging service providers including proper due diligence prior to engagement.; Use strong cryptography and security protocols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Note: Where SSL/early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v>
      </c>
      <c r="C942" s="20"/>
      <c r="D942" s="20"/>
      <c r="E942" s="20"/>
      <c r="F942" s="6"/>
      <c r="G942" s="6"/>
      <c r="H942" s="6"/>
      <c r="I942" s="6"/>
      <c r="J942" s="6"/>
      <c r="K942" s="6"/>
      <c r="L942" s="6"/>
      <c r="M942" s="6"/>
      <c r="N942" s="6"/>
      <c r="O942" s="6"/>
      <c r="P942" s="6"/>
      <c r="Q942" s="6"/>
      <c r="R942" s="6"/>
      <c r="S942" s="6"/>
      <c r="T942" s="6"/>
      <c r="U942" s="6"/>
      <c r="V942" s="6"/>
      <c r="W942" s="6"/>
      <c r="X942" s="6"/>
      <c r="Y942" s="6"/>
      <c r="Z942" s="6"/>
    </row>
    <row r="943" ht="29.25" customHeight="1">
      <c r="A943" s="320" t="s">
        <v>1016</v>
      </c>
      <c r="B943" s="321" t="str">
        <f>CONCATENATE(B876,"; ",B907)</f>
        <v>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 Maintain and implement policies and procedures to manage service providers, with whom cardholder data is shared, or that could affect the security of cardholder data, as follows</v>
      </c>
      <c r="C943" s="20"/>
      <c r="D943" s="20"/>
      <c r="E943" s="20"/>
      <c r="F943" s="6"/>
      <c r="G943" s="6"/>
      <c r="H943" s="6"/>
      <c r="I943" s="6"/>
      <c r="J943" s="6"/>
      <c r="K943" s="6"/>
      <c r="L943" s="6"/>
      <c r="M943" s="6"/>
      <c r="N943" s="6"/>
      <c r="O943" s="6"/>
      <c r="P943" s="6"/>
      <c r="Q943" s="6"/>
      <c r="R943" s="6"/>
      <c r="S943" s="6"/>
      <c r="T943" s="6"/>
      <c r="U943" s="6"/>
      <c r="V943" s="6"/>
      <c r="W943" s="6"/>
      <c r="X943" s="6"/>
      <c r="Y943" s="6"/>
      <c r="Z943" s="6"/>
    </row>
    <row r="944" ht="72.0" customHeight="1">
      <c r="A944" s="320" t="s">
        <v>1020</v>
      </c>
      <c r="B944" s="321" t="str">
        <f>CONCATENATE(B661,"; ",B859,"; ",B854,"; ",B837,"; ",B829,"; ",B876)</f>
        <v>Establish and implement firewall and router configuration standards that include the following:; 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Note: This requirement is a best practice until January 31, 2018, after which it becomes a requirement.; Review logs and security events for all system components to identify anomalies or suspicious activity. Note: Log harvesting, parsing, and alerting tools may be used to meet this Requirement.; Record at least the following audit trail entries for all system components for each event:; Implement automated audit trails for all system components to reconstruct the following events:; 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v>
      </c>
      <c r="C944" s="20"/>
      <c r="D944" s="20"/>
      <c r="E944" s="20"/>
      <c r="F944" s="6"/>
      <c r="G944" s="6"/>
      <c r="H944" s="6"/>
      <c r="I944" s="6"/>
      <c r="J944" s="6"/>
      <c r="K944" s="6"/>
      <c r="L944" s="6"/>
      <c r="M944" s="6"/>
      <c r="N944" s="6"/>
      <c r="O944" s="6"/>
      <c r="P944" s="6"/>
      <c r="Q944" s="6"/>
      <c r="R944" s="6"/>
      <c r="S944" s="6"/>
      <c r="T944" s="6"/>
      <c r="U944" s="6"/>
      <c r="V944" s="6"/>
      <c r="W944" s="6"/>
      <c r="X944" s="6"/>
      <c r="Y944" s="6"/>
      <c r="Z944" s="6"/>
    </row>
    <row r="945" ht="18.0" customHeight="1">
      <c r="A945" s="322" t="s">
        <v>1038</v>
      </c>
      <c r="B945" s="312" t="str">
        <f>CONCATENATE(B881,"; ",B799)</f>
        <v>Establish, publish, maintain, and disseminate a security policy.; Restrict physical access to cardholder data</v>
      </c>
      <c r="C945" s="20"/>
      <c r="D945" s="20"/>
      <c r="E945" s="20"/>
      <c r="F945" s="6"/>
      <c r="G945" s="6"/>
      <c r="H945" s="6"/>
      <c r="I945" s="6"/>
      <c r="J945" s="6"/>
      <c r="K945" s="6"/>
      <c r="L945" s="6"/>
      <c r="M945" s="6"/>
      <c r="N945" s="6"/>
      <c r="O945" s="6"/>
      <c r="P945" s="6"/>
      <c r="Q945" s="6"/>
      <c r="R945" s="6"/>
      <c r="S945" s="6"/>
      <c r="T945" s="6"/>
      <c r="U945" s="6"/>
      <c r="V945" s="6"/>
      <c r="W945" s="6"/>
      <c r="X945" s="6"/>
      <c r="Y945" s="6"/>
      <c r="Z945" s="6"/>
    </row>
    <row r="946" ht="28.5" customHeight="1">
      <c r="A946" s="317" t="s">
        <v>1050</v>
      </c>
      <c r="B946" s="312" t="str">
        <f>CONCATENATE(B895,"; ",B897)</f>
        <v>Ensure that the security policy and procedures clearly define information security responsibilities for all personnel.; Assign to an individual or team the following information security management responsibilities:</v>
      </c>
      <c r="C946" s="20"/>
      <c r="D946" s="20"/>
      <c r="E946" s="20"/>
      <c r="F946" s="6"/>
      <c r="G946" s="6"/>
      <c r="H946" s="6"/>
      <c r="I946" s="6"/>
      <c r="J946" s="6"/>
      <c r="K946" s="6"/>
      <c r="L946" s="6"/>
      <c r="M946" s="6"/>
      <c r="N946" s="6"/>
      <c r="O946" s="6"/>
      <c r="P946" s="6"/>
      <c r="Q946" s="6"/>
      <c r="R946" s="6"/>
      <c r="S946" s="6"/>
      <c r="T946" s="6"/>
      <c r="U946" s="6"/>
      <c r="V946" s="6"/>
      <c r="W946" s="6"/>
      <c r="X946" s="6"/>
      <c r="Y946" s="6"/>
      <c r="Z946" s="6"/>
    </row>
    <row r="947" ht="15.75" customHeight="1">
      <c r="A947" s="319" t="s">
        <v>1057</v>
      </c>
      <c r="B947" s="312" t="str">
        <f>CONCATENATE(B903,"; ",B749)</f>
        <v>Implement a formal security awareness program to make all personnel aware of the cardholder data security policy and procedures.; 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v>
      </c>
      <c r="C947" s="20"/>
      <c r="D947" s="20"/>
      <c r="E947" s="20"/>
      <c r="F947" s="6"/>
      <c r="G947" s="6"/>
      <c r="H947" s="6"/>
      <c r="I947" s="6"/>
      <c r="J947" s="6"/>
      <c r="K947" s="6"/>
      <c r="L947" s="6"/>
      <c r="M947" s="6"/>
      <c r="N947" s="6"/>
      <c r="O947" s="6"/>
      <c r="P947" s="6"/>
      <c r="Q947" s="6"/>
      <c r="R947" s="6"/>
      <c r="S947" s="6"/>
      <c r="T947" s="6"/>
      <c r="U947" s="6"/>
      <c r="V947" s="6"/>
      <c r="W947" s="6"/>
      <c r="X947" s="6"/>
      <c r="Y947" s="6"/>
      <c r="Z947" s="6"/>
    </row>
    <row r="948" ht="29.25" customHeight="1">
      <c r="A948" s="320" t="s">
        <v>1063</v>
      </c>
      <c r="B948" s="321" t="str">
        <f>CONCATENATE(B737,"; ",B746)</f>
        <v>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 Functionality testing to verify that the change does not adversely impact the security of the system.</v>
      </c>
      <c r="C948" s="20"/>
      <c r="D948" s="20"/>
      <c r="E948" s="20"/>
      <c r="F948" s="6"/>
      <c r="G948" s="6"/>
      <c r="H948" s="6"/>
      <c r="I948" s="6"/>
      <c r="J948" s="6"/>
      <c r="K948" s="6"/>
      <c r="L948" s="6"/>
      <c r="M948" s="6"/>
      <c r="N948" s="6"/>
      <c r="O948" s="6"/>
      <c r="P948" s="6"/>
      <c r="Q948" s="6"/>
      <c r="R948" s="6"/>
      <c r="S948" s="6"/>
      <c r="T948" s="6"/>
      <c r="U948" s="6"/>
      <c r="V948" s="6"/>
      <c r="W948" s="6"/>
      <c r="X948" s="6"/>
      <c r="Y948" s="6"/>
      <c r="Z948" s="6"/>
    </row>
    <row r="949" ht="15.75" customHeight="1">
      <c r="A949" s="320" t="s">
        <v>1065</v>
      </c>
      <c r="B949" s="321" t="str">
        <f>CONCATENATE(B735,"; ",B736)</f>
        <v>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 Remove development, test and/or custom application accounts, user IDs, and passwords before applications become active or are released to customers.</v>
      </c>
      <c r="C949" s="20"/>
      <c r="D949" s="20"/>
      <c r="E949" s="20"/>
      <c r="F949" s="6"/>
      <c r="G949" s="6"/>
      <c r="H949" s="6"/>
      <c r="I949" s="6"/>
      <c r="J949" s="6"/>
      <c r="K949" s="6"/>
      <c r="L949" s="6"/>
      <c r="M949" s="6"/>
      <c r="N949" s="6"/>
      <c r="O949" s="6"/>
      <c r="P949" s="6"/>
      <c r="Q949" s="6"/>
      <c r="R949" s="6"/>
      <c r="S949" s="6"/>
      <c r="T949" s="6"/>
      <c r="U949" s="6"/>
      <c r="V949" s="6"/>
      <c r="W949" s="6"/>
      <c r="X949" s="6"/>
      <c r="Y949" s="6"/>
      <c r="Z949" s="6"/>
    </row>
    <row r="950" ht="43.5" customHeight="1">
      <c r="A950" s="323" t="s">
        <v>1071</v>
      </c>
      <c r="B950" s="312" t="str">
        <f>CONCATENATE(B914,"; ",B907,"; ",B913)</f>
        <v>Implement an incident response plan. Be prepared to respond immediately to a system breach.; Maintain and implement policies and procedures to manage service providers, with whom cardholder data is shared, or that could affect the security of cardholder data, as follows;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v>
      </c>
      <c r="C950" s="20"/>
      <c r="D950" s="20"/>
      <c r="E950" s="20"/>
      <c r="F950" s="6"/>
      <c r="G950" s="6"/>
      <c r="H950" s="6"/>
      <c r="I950" s="6"/>
      <c r="J950" s="6"/>
      <c r="K950" s="6"/>
      <c r="L950" s="6"/>
      <c r="M950" s="6"/>
      <c r="N950" s="6"/>
      <c r="O950" s="6"/>
      <c r="P950" s="6"/>
      <c r="Q950" s="6"/>
      <c r="R950" s="6"/>
      <c r="S950" s="6"/>
      <c r="T950" s="6"/>
      <c r="U950" s="6"/>
      <c r="V950" s="6"/>
      <c r="W950" s="6"/>
      <c r="X950" s="6"/>
      <c r="Y950" s="6"/>
      <c r="Z950" s="6"/>
    </row>
    <row r="951" ht="29.25" customHeight="1">
      <c r="A951" s="320" t="s">
        <v>1081</v>
      </c>
      <c r="B951" s="321" t="str">
        <f>CONCATENATE(B903,"; ",B762,"; ",B773,"; ",B799)</f>
        <v>Implement a formal security awareness program to make all personnel aware of the cardholder data security policy and procedures.; Restrict access to cardholder data by business need to know; Assign a unique ID to each person with computer access; Restrict physical access to cardholder data</v>
      </c>
      <c r="C951" s="20"/>
      <c r="D951" s="20"/>
      <c r="E951" s="20"/>
      <c r="F951" s="6"/>
      <c r="G951" s="6"/>
      <c r="H951" s="6"/>
      <c r="I951" s="6"/>
      <c r="J951" s="6"/>
      <c r="K951" s="6"/>
      <c r="L951" s="6"/>
      <c r="M951" s="6"/>
      <c r="N951" s="6"/>
      <c r="O951" s="6"/>
      <c r="P951" s="6"/>
      <c r="Q951" s="6"/>
      <c r="R951" s="6"/>
      <c r="S951" s="6"/>
      <c r="T951" s="6"/>
      <c r="U951" s="6"/>
      <c r="V951" s="6"/>
      <c r="W951" s="6"/>
      <c r="X951" s="6"/>
      <c r="Y951" s="6"/>
      <c r="Z951" s="6"/>
    </row>
    <row r="952" ht="29.25" customHeight="1">
      <c r="A952" s="320" t="s">
        <v>3104</v>
      </c>
      <c r="B952" s="321" t="str">
        <f>CONCATENATE(B762,"; ",B773,"; ",B799)</f>
        <v>Restrict access to cardholder data by business need to know; Assign a unique ID to each person with computer access; Restrict physical access to cardholder data</v>
      </c>
      <c r="C952" s="20"/>
      <c r="D952" s="20"/>
      <c r="E952" s="20"/>
      <c r="F952" s="6"/>
      <c r="G952" s="6"/>
      <c r="H952" s="6"/>
      <c r="I952" s="6"/>
      <c r="J952" s="6"/>
      <c r="K952" s="6"/>
      <c r="L952" s="6"/>
      <c r="M952" s="6"/>
      <c r="N952" s="6"/>
      <c r="O952" s="6"/>
      <c r="P952" s="6"/>
      <c r="Q952" s="6"/>
      <c r="R952" s="6"/>
      <c r="S952" s="6"/>
      <c r="T952" s="6"/>
      <c r="U952" s="6"/>
      <c r="V952" s="6"/>
      <c r="W952" s="6"/>
      <c r="X952" s="6"/>
      <c r="Y952" s="6"/>
      <c r="Z952" s="6"/>
    </row>
    <row r="953" ht="18.0" customHeight="1">
      <c r="A953" s="324" t="s">
        <v>3105</v>
      </c>
      <c r="B953" s="312" t="str">
        <f>CONCATENATE(B881,"; ",B731)</f>
        <v>Establish, publish, maintain, and disseminate a security policy.; Ensure that security policies and operational procedures for protecting systems against malware are documented, in use, and known to all affected parties.</v>
      </c>
      <c r="C953" s="20"/>
      <c r="D953" s="20"/>
      <c r="E953" s="20"/>
      <c r="F953" s="6"/>
      <c r="G953" s="6"/>
      <c r="H953" s="6"/>
      <c r="I953" s="6"/>
      <c r="J953" s="6"/>
      <c r="K953" s="6"/>
      <c r="L953" s="6"/>
      <c r="M953" s="6"/>
      <c r="N953" s="6"/>
      <c r="O953" s="6"/>
      <c r="P953" s="6"/>
      <c r="Q953" s="6"/>
      <c r="R953" s="6"/>
      <c r="S953" s="6"/>
      <c r="T953" s="6"/>
      <c r="U953" s="6"/>
      <c r="V953" s="6"/>
      <c r="W953" s="6"/>
      <c r="X953" s="6"/>
      <c r="Y953" s="6"/>
      <c r="Z953" s="6"/>
    </row>
    <row r="954" ht="43.5" customHeight="1">
      <c r="A954" s="319" t="s">
        <v>1092</v>
      </c>
      <c r="B954" s="312" t="str">
        <f>CONCATENATE(B881,"; ",B897,"; ",B903)</f>
        <v>Establish, publish, maintain, and disseminate a security policy.; Assign to an individual or team the following information security management responsibilities:; Implement a formal security awareness program to make all personnel aware of the cardholder data security policy and procedures.</v>
      </c>
      <c r="C954" s="20"/>
      <c r="D954" s="20"/>
      <c r="E954" s="20"/>
      <c r="F954" s="6"/>
      <c r="G954" s="6"/>
      <c r="H954" s="6"/>
      <c r="I954" s="6"/>
      <c r="J954" s="6"/>
      <c r="K954" s="6"/>
      <c r="L954" s="6"/>
      <c r="M954" s="6"/>
      <c r="N954" s="6"/>
      <c r="O954" s="6"/>
      <c r="P954" s="6"/>
      <c r="Q954" s="6"/>
      <c r="R954" s="6"/>
      <c r="S954" s="6"/>
      <c r="T954" s="6"/>
      <c r="U954" s="6"/>
      <c r="V954" s="6"/>
      <c r="W954" s="6"/>
      <c r="X954" s="6"/>
      <c r="Y954" s="6"/>
      <c r="Z954" s="6"/>
    </row>
    <row r="955" ht="29.25" customHeight="1">
      <c r="A955" s="320" t="s">
        <v>1110</v>
      </c>
      <c r="B955" s="321" t="str">
        <f>CONCATENATE(B866,"; ",B870)</f>
        <v>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 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v>
      </c>
      <c r="C955" s="20"/>
      <c r="D955" s="20"/>
      <c r="E955" s="20"/>
      <c r="F955" s="6"/>
      <c r="G955" s="6"/>
      <c r="H955" s="6"/>
      <c r="I955" s="6"/>
      <c r="J955" s="6"/>
      <c r="K955" s="6"/>
      <c r="L955" s="6"/>
      <c r="M955" s="6"/>
      <c r="N955" s="6"/>
      <c r="O955" s="6"/>
      <c r="P955" s="6"/>
      <c r="Q955" s="6"/>
      <c r="R955" s="6"/>
      <c r="S955" s="6"/>
      <c r="T955" s="6"/>
      <c r="U955" s="6"/>
      <c r="V955" s="6"/>
      <c r="W955" s="6"/>
      <c r="X955" s="6"/>
      <c r="Y955" s="6"/>
      <c r="Z955" s="6"/>
    </row>
    <row r="956" ht="29.25" customHeight="1">
      <c r="A956" s="320" t="s">
        <v>1113</v>
      </c>
      <c r="B956" s="321" t="str">
        <f>CONCATENATE(B866,"; ",B907)</f>
        <v>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 Maintain and implement policies and procedures to manage service providers, with whom cardholder data is shared, or that could affect the security of cardholder data, as follows</v>
      </c>
      <c r="C956" s="20"/>
      <c r="D956" s="20"/>
      <c r="E956" s="20"/>
      <c r="F956" s="6"/>
      <c r="G956" s="6"/>
      <c r="H956" s="6"/>
      <c r="I956" s="6"/>
      <c r="J956" s="6"/>
      <c r="K956" s="6"/>
      <c r="L956" s="6"/>
      <c r="M956" s="6"/>
      <c r="N956" s="6"/>
      <c r="O956" s="6"/>
      <c r="P956" s="6"/>
      <c r="Q956" s="6"/>
      <c r="R956" s="6"/>
      <c r="S956" s="6"/>
      <c r="T956" s="6"/>
      <c r="U956" s="6"/>
      <c r="V956" s="6"/>
      <c r="W956" s="6"/>
      <c r="X956" s="6"/>
      <c r="Y956" s="6"/>
      <c r="Z956" s="6"/>
    </row>
    <row r="957" ht="28.5" customHeight="1">
      <c r="A957" s="322" t="s">
        <v>1123</v>
      </c>
      <c r="B957" s="312" t="str">
        <f>CONCATENATE(B914,"; ",B827)</f>
        <v>Implement an incident response plan. Be prepared to respond immediately to a system breach.; Track and monitor all access to network resources and cardholder data</v>
      </c>
      <c r="C957" s="20"/>
      <c r="D957" s="20"/>
      <c r="E957" s="20"/>
      <c r="F957" s="6"/>
      <c r="G957" s="6"/>
      <c r="H957" s="6"/>
      <c r="I957" s="6"/>
      <c r="J957" s="6"/>
      <c r="K957" s="6"/>
      <c r="L957" s="6"/>
      <c r="M957" s="6"/>
      <c r="N957" s="6"/>
      <c r="O957" s="6"/>
      <c r="P957" s="6"/>
      <c r="Q957" s="6"/>
      <c r="R957" s="6"/>
      <c r="S957" s="6"/>
      <c r="T957" s="6"/>
      <c r="U957" s="6"/>
      <c r="V957" s="6"/>
      <c r="W957" s="6"/>
      <c r="X957" s="6"/>
      <c r="Y957" s="6"/>
      <c r="Z957" s="6"/>
    </row>
    <row r="958" ht="18.0" customHeight="1">
      <c r="A958" s="20"/>
      <c r="B958" s="325"/>
      <c r="C958" s="20"/>
      <c r="D958" s="20"/>
      <c r="E958" s="20"/>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portrait"/>
  <headerFooter>
    <oddFooter>&amp;C000000&amp;P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6.0"/>
    <col customWidth="1" min="2" max="2" width="8.67"/>
    <col customWidth="1" min="3" max="3" width="28.44"/>
    <col customWidth="1" min="4" max="4" width="6.22"/>
    <col customWidth="1" min="5" max="5" width="6.11"/>
    <col customWidth="1" min="6" max="6" width="8.67"/>
    <col customWidth="1" min="7" max="7" width="4.11"/>
    <col customWidth="1" min="8" max="8" width="5.11"/>
    <col customWidth="1" min="9" max="9" width="3.78"/>
    <col customWidth="1" min="10" max="10" width="3.0"/>
    <col customWidth="1" min="11" max="13" width="9.22"/>
    <col customWidth="1" min="14" max="14" width="12.11"/>
    <col customWidth="1" min="15" max="16" width="9.22"/>
    <col customWidth="1" min="17" max="17" width="11.78"/>
    <col customWidth="1" min="18" max="19" width="12.22"/>
    <col customWidth="1" min="20" max="25" width="9.78"/>
    <col customWidth="1" min="26" max="26" width="8.67"/>
  </cols>
  <sheetData>
    <row r="1" ht="72.0" customHeight="1">
      <c r="A1" s="198" t="s">
        <v>3106</v>
      </c>
      <c r="B1" s="326" t="s">
        <v>1172</v>
      </c>
      <c r="C1" s="198" t="s">
        <v>1173</v>
      </c>
      <c r="D1" s="198" t="s">
        <v>3107</v>
      </c>
      <c r="E1" s="326" t="s">
        <v>3108</v>
      </c>
      <c r="F1" s="326" t="s">
        <v>3109</v>
      </c>
      <c r="G1" s="326" t="s">
        <v>3110</v>
      </c>
      <c r="H1" s="326" t="s">
        <v>3111</v>
      </c>
      <c r="I1" s="198" t="s">
        <v>3112</v>
      </c>
      <c r="J1" s="198" t="s">
        <v>3113</v>
      </c>
      <c r="K1" s="198" t="s">
        <v>3114</v>
      </c>
      <c r="L1" s="198" t="s">
        <v>1168</v>
      </c>
      <c r="M1" s="288" t="s">
        <v>3115</v>
      </c>
      <c r="N1" s="288" t="s">
        <v>803</v>
      </c>
      <c r="O1" s="327" t="s">
        <v>3116</v>
      </c>
      <c r="P1" s="328" t="s">
        <v>805</v>
      </c>
      <c r="Q1" s="329" t="s">
        <v>806</v>
      </c>
      <c r="R1" s="330" t="s">
        <v>807</v>
      </c>
      <c r="S1" s="327" t="s">
        <v>808</v>
      </c>
      <c r="T1" s="331"/>
      <c r="U1" s="332" t="s">
        <v>3117</v>
      </c>
      <c r="V1" s="332" t="s">
        <v>3118</v>
      </c>
      <c r="W1" s="332" t="s">
        <v>1168</v>
      </c>
      <c r="X1" s="332" t="s">
        <v>1167</v>
      </c>
      <c r="Y1" s="333" t="s">
        <v>1169</v>
      </c>
      <c r="Z1" s="6"/>
    </row>
    <row r="2" ht="72.0" customHeight="1">
      <c r="A2" s="334">
        <v>1.0</v>
      </c>
      <c r="B2" s="335" t="s">
        <v>83</v>
      </c>
      <c r="C2" s="336" t="str">
        <f>VLOOKUP(B2,'HECVAT - Full'!A1:E312,2,FALSE)</f>
        <v>Does your product process protected health information (PHI) or any data covered by the Health Insurance Portability and Accountability Act?</v>
      </c>
      <c r="D2" s="334" t="str">
        <f>VLOOKUP(B2,'HECVAT - Full'!A1:E312,4,FALSE)</f>
        <v/>
      </c>
      <c r="E2" s="337" t="b">
        <v>1</v>
      </c>
      <c r="F2" s="335" t="s">
        <v>8</v>
      </c>
      <c r="G2" s="335" t="s">
        <v>90</v>
      </c>
      <c r="H2" s="338">
        <v>1.0</v>
      </c>
      <c r="I2" s="336" t="str">
        <f>VLOOKUP(B2,'HECVAT - Full'!A1:E312,3,FALSE)</f>
        <v>No</v>
      </c>
      <c r="J2" s="181">
        <v>1.0</v>
      </c>
      <c r="K2" s="181">
        <f t="shared" ref="K2:K5" si="1">IF(H2=1,10,"")</f>
        <v>10</v>
      </c>
      <c r="L2" s="181">
        <f t="shared" ref="L2:L5" si="2">IF(H2=1,J2*K2,"")</f>
        <v>10</v>
      </c>
      <c r="M2" s="198" t="str">
        <f>VLOOKUP($B2,'Standards Crosswalk'!$A1:$H321,3,FALSE)</f>
        <v>CSC 13</v>
      </c>
      <c r="N2" s="198" t="str">
        <f>VLOOKUP($B2,'Standards Crosswalk'!$A1:$H321,4,FALSE)</f>
        <v>Discovery</v>
      </c>
      <c r="O2" s="198" t="str">
        <f>VLOOKUP($B2,'Standards Crosswalk'!$A1:$H321,5,FALSE)</f>
        <v>18.1.1</v>
      </c>
      <c r="P2" s="223" t="str">
        <f>VLOOKUP($B2,'Standards Crosswalk'!$A1:$H321,6,FALSE)</f>
        <v>ID.GV-3</v>
      </c>
      <c r="Q2" s="198" t="str">
        <f>VLOOKUP($B2,'Standards Crosswalk'!$A1:$H321,7,FALSE)</f>
        <v>ID.GV-3</v>
      </c>
      <c r="R2" s="198" t="str">
        <f>VLOOKUP($B2,'Standards Crosswalk'!$A1:$H321,8,FALSE)</f>
        <v>RA-2</v>
      </c>
      <c r="S2" s="339" t="str">
        <f>VLOOKUP($B2,'Standards Crosswalk'!$A1:$I321,9,FALSE)</f>
        <v/>
      </c>
      <c r="T2" s="335" t="s">
        <v>10</v>
      </c>
      <c r="U2" s="340">
        <f>COUNTIFS(B1:B268,"DOCU*",J1:J268,"=1")</f>
        <v>3</v>
      </c>
      <c r="V2" s="341">
        <f>COUNTIF(B1:B268,"DOCU*")</f>
        <v>6</v>
      </c>
      <c r="W2" s="341">
        <f>SUMIFS(L1:L268,B1:B268,"DOCU*")</f>
        <v>60</v>
      </c>
      <c r="X2" s="341">
        <f>SUMIFS(K1:K268,B1:B268,"DOCU*")</f>
        <v>105</v>
      </c>
      <c r="Y2" s="342">
        <f t="shared" ref="Y2:Y14" si="3">W2/X2</f>
        <v>0.5714285714</v>
      </c>
      <c r="Z2" s="6"/>
    </row>
    <row r="3" ht="43.5" customHeight="1">
      <c r="A3" s="334">
        <f t="shared" ref="A3:A5" si="4">A2+1</f>
        <v>2</v>
      </c>
      <c r="B3" s="335" t="s">
        <v>86</v>
      </c>
      <c r="C3" s="336" t="str">
        <f>VLOOKUP(B3,'HECVAT - Full'!A1:E312,2,FALSE)</f>
        <v>Does the vended product host/support a mobile application? (e.g. app)</v>
      </c>
      <c r="D3" s="334" t="str">
        <f>VLOOKUP(B3,'HECVAT - Full'!A1:E312,4,FALSE)</f>
        <v/>
      </c>
      <c r="E3" s="337" t="b">
        <v>0</v>
      </c>
      <c r="F3" s="335" t="s">
        <v>8</v>
      </c>
      <c r="G3" s="335" t="s">
        <v>90</v>
      </c>
      <c r="H3" s="338">
        <v>1.0</v>
      </c>
      <c r="I3" s="336" t="str">
        <f>VLOOKUP(B3,'HECVAT - Full'!A1:E312,3,FALSE)</f>
        <v>No</v>
      </c>
      <c r="J3" s="181">
        <v>1.0</v>
      </c>
      <c r="K3" s="181">
        <f t="shared" si="1"/>
        <v>10</v>
      </c>
      <c r="L3" s="181">
        <f t="shared" si="2"/>
        <v>10</v>
      </c>
      <c r="M3" s="198" t="str">
        <f>VLOOKUP($B3,'Standards Crosswalk'!$A1:$H321,3,FALSE)</f>
        <v>CSC 18</v>
      </c>
      <c r="N3" s="198" t="str">
        <f>VLOOKUP($B3,'Standards Crosswalk'!$A1:$H321,4,FALSE)</f>
        <v/>
      </c>
      <c r="O3" s="198" t="str">
        <f>VLOOKUP($B3,'Standards Crosswalk'!$A1:$H321,5,FALSE)</f>
        <v/>
      </c>
      <c r="P3" s="198" t="str">
        <f>VLOOKUP($B3,'Standards Crosswalk'!$A1:$H321,6,FALSE)</f>
        <v/>
      </c>
      <c r="Q3" s="343" t="str">
        <f>VLOOKUP($B3,'Standards Crosswalk'!$A1:$H321,7,FALSE)</f>
        <v/>
      </c>
      <c r="R3" s="198" t="str">
        <f>VLOOKUP($B3,'Standards Crosswalk'!$A1:$H321,8,FALSE)</f>
        <v>IA-2, IA-3, CM-3, SI-2</v>
      </c>
      <c r="S3" s="339" t="str">
        <f>VLOOKUP($B3,'Standards Crosswalk'!$A1:$I321,9,FALSE)</f>
        <v/>
      </c>
      <c r="T3" s="335" t="s">
        <v>3119</v>
      </c>
      <c r="U3" s="344">
        <f>COUNTIFS(B1:B268,"APPL*",J1:J268,"=1")</f>
        <v>8</v>
      </c>
      <c r="V3" s="345">
        <f>COUNTIF(B1:B268,"APPL*")</f>
        <v>17</v>
      </c>
      <c r="W3" s="345">
        <f>SUMIFS(L1:L268,B1:B268,"APPL*")</f>
        <v>200</v>
      </c>
      <c r="X3" s="345">
        <f>SUMIFS(K1:K268,B1:B268,"APPL*")</f>
        <v>375</v>
      </c>
      <c r="Y3" s="346">
        <f t="shared" si="3"/>
        <v>0.5333333333</v>
      </c>
      <c r="Z3" s="6"/>
    </row>
    <row r="4" ht="72.0" customHeight="1">
      <c r="A4" s="334">
        <f t="shared" si="4"/>
        <v>3</v>
      </c>
      <c r="B4" s="335" t="s">
        <v>88</v>
      </c>
      <c r="C4" s="336" t="str">
        <f>VLOOKUP(B4,'HECVAT - Full'!A1:E312,2,FALSE)</f>
        <v>Will institution data be shared with or hosted by any third parties? (e.g. any entity not wholly-owned by your company is considered a third-party)</v>
      </c>
      <c r="D4" s="334" t="str">
        <f>VLOOKUP(B4,'HECVAT - Full'!A1:E312,4,FALSE)</f>
        <v/>
      </c>
      <c r="E4" s="337" t="b">
        <v>1</v>
      </c>
      <c r="F4" s="335" t="s">
        <v>8</v>
      </c>
      <c r="G4" s="335" t="s">
        <v>85</v>
      </c>
      <c r="H4" s="338">
        <v>1.0</v>
      </c>
      <c r="I4" s="336" t="str">
        <f>VLOOKUP(B4,'HECVAT - Full'!A1:E312,3,FALSE)</f>
        <v>Yes</v>
      </c>
      <c r="J4" s="181">
        <v>1.0</v>
      </c>
      <c r="K4" s="181">
        <f t="shared" si="1"/>
        <v>10</v>
      </c>
      <c r="L4" s="181">
        <f t="shared" si="2"/>
        <v>10</v>
      </c>
      <c r="M4" s="198" t="str">
        <f>VLOOKUP($B4,'Standards Crosswalk'!$A1:$H321,3,FALSE)</f>
        <v>CSC 13</v>
      </c>
      <c r="N4" s="198" t="str">
        <f>VLOOKUP($B4,'Standards Crosswalk'!$A1:$H321,4,FALSE)</f>
        <v/>
      </c>
      <c r="O4" s="198" t="str">
        <f>VLOOKUP($B4,'Standards Crosswalk'!$A1:$H321,5,FALSE)</f>
        <v/>
      </c>
      <c r="P4" s="198" t="str">
        <f>VLOOKUP($B4,'Standards Crosswalk'!$A1:$H321,6,FALSE)</f>
        <v>ID.AM-6, PR.AT-3</v>
      </c>
      <c r="Q4" s="198" t="str">
        <f>VLOOKUP($B4,'Standards Crosswalk'!$A1:$H321,7,FALSE)</f>
        <v>ID.AM-6, PR.AT-3</v>
      </c>
      <c r="R4" s="198" t="str">
        <f>VLOOKUP($B4,'Standards Crosswalk'!$A1:$H321,8,FALSE)</f>
        <v/>
      </c>
      <c r="S4" s="347">
        <f>VLOOKUP($B4,'Standards Crosswalk'!$A1:$I321,9,FALSE)</f>
        <v>12.8</v>
      </c>
      <c r="T4" s="335" t="s">
        <v>3120</v>
      </c>
      <c r="U4" s="344">
        <f>COUNTIFS(B1:B268,"AAAI*",J1:J268,"=1")</f>
        <v>12</v>
      </c>
      <c r="V4" s="345">
        <f>COUNTIF(B1:B268,"AAAI*")</f>
        <v>17</v>
      </c>
      <c r="W4" s="345">
        <f>SUMIFS(L1:L268,B1:B268,"AAAI*")</f>
        <v>315</v>
      </c>
      <c r="X4" s="345">
        <f>SUMIFS(K1:K268,B1:B268,"AAAI*")</f>
        <v>425</v>
      </c>
      <c r="Y4" s="346">
        <f t="shared" si="3"/>
        <v>0.7411764706</v>
      </c>
      <c r="Z4" s="6"/>
    </row>
    <row r="5" ht="43.5" customHeight="1">
      <c r="A5" s="334">
        <f t="shared" si="4"/>
        <v>4</v>
      </c>
      <c r="B5" s="335" t="s">
        <v>91</v>
      </c>
      <c r="C5" s="336" t="str">
        <f>VLOOKUP(B5,'HECVAT - Full'!A1:E312,2,FALSE)</f>
        <v>Do you have a Business Continuity Plan (BCP)?</v>
      </c>
      <c r="D5" s="334" t="str">
        <f>VLOOKUP(B5,'HECVAT - Full'!A1:E312,4,FALSE)</f>
        <v/>
      </c>
      <c r="E5" s="337" t="b">
        <v>1</v>
      </c>
      <c r="F5" s="335" t="s">
        <v>8</v>
      </c>
      <c r="G5" s="335" t="s">
        <v>90</v>
      </c>
      <c r="H5" s="338">
        <v>1.0</v>
      </c>
      <c r="I5" s="336" t="str">
        <f>VLOOKUP(B5,'HECVAT - Full'!A1:E312,3,FALSE)</f>
        <v>Yes</v>
      </c>
      <c r="J5" s="181">
        <v>1.0</v>
      </c>
      <c r="K5" s="181">
        <f t="shared" si="1"/>
        <v>10</v>
      </c>
      <c r="L5" s="181">
        <f t="shared" si="2"/>
        <v>10</v>
      </c>
      <c r="M5" s="198" t="str">
        <f>VLOOKUP($B5,'Standards Crosswalk'!$A1:$H321,3,FALSE)</f>
        <v>CSC 10</v>
      </c>
      <c r="N5" s="198" t="str">
        <f>VLOOKUP($B5,'Standards Crosswalk'!$A1:$H321,4,FALSE)</f>
        <v/>
      </c>
      <c r="O5" s="198" t="str">
        <f>VLOOKUP($B5,'Standards Crosswalk'!$A1:$H321,5,FALSE)</f>
        <v>17.1.2</v>
      </c>
      <c r="P5" s="198" t="str">
        <f>VLOOKUP($B5,'Standards Crosswalk'!$A1:$H321,6,FALSE)</f>
        <v>PR.IP-9</v>
      </c>
      <c r="Q5" s="198" t="str">
        <f>VLOOKUP($B5,'Standards Crosswalk'!$A1:$H321,7,FALSE)</f>
        <v>PR.IP-9</v>
      </c>
      <c r="R5" s="198" t="str">
        <f>VLOOKUP($B5,'Standards Crosswalk'!$A1:$H321,8,FALSE)</f>
        <v>AU-7, AU-9, IR-4</v>
      </c>
      <c r="S5" s="347">
        <f>VLOOKUP($B5,'Standards Crosswalk'!$A1:$I321,9,FALSE)</f>
        <v>12.1</v>
      </c>
      <c r="T5" s="335" t="s">
        <v>3121</v>
      </c>
      <c r="U5" s="344">
        <f>COUNTIFS(B1:B268,"CHNG*",J1:J268,"=1")</f>
        <v>10</v>
      </c>
      <c r="V5" s="345">
        <f>COUNTIF(B1:B268,"CHNG*")</f>
        <v>15</v>
      </c>
      <c r="W5" s="345">
        <f>SUMIFS(L1:L268,B1:B268,"CHNG*")</f>
        <v>190</v>
      </c>
      <c r="X5" s="345">
        <f>SUMIFS(K1:K268,B1:B268,"CHNG*")</f>
        <v>275</v>
      </c>
      <c r="Y5" s="346">
        <f t="shared" si="3"/>
        <v>0.6909090909</v>
      </c>
      <c r="Z5" s="6"/>
    </row>
    <row r="6" ht="15.0" customHeight="1">
      <c r="A6" s="334"/>
      <c r="B6" s="348"/>
      <c r="C6" s="349"/>
      <c r="D6" s="334"/>
      <c r="E6" s="337"/>
      <c r="F6" s="348"/>
      <c r="G6" s="348"/>
      <c r="H6" s="338"/>
      <c r="I6" s="349"/>
      <c r="J6" s="181"/>
      <c r="K6" s="181"/>
      <c r="L6" s="181"/>
      <c r="M6" s="343"/>
      <c r="N6" s="198" t="str">
        <f>VLOOKUP($B7,'Standards Crosswalk'!$A1:$H321,4,FALSE)</f>
        <v/>
      </c>
      <c r="O6" s="343"/>
      <c r="P6" s="343"/>
      <c r="Q6" s="343"/>
      <c r="R6" s="343"/>
      <c r="S6" s="347"/>
      <c r="T6" s="335" t="s">
        <v>3122</v>
      </c>
      <c r="U6" s="350">
        <f>COUNTIFS(B1:B268,"COMP*",J1:J268,"=1")</f>
        <v>2</v>
      </c>
      <c r="V6" s="351">
        <f>COUNTIF(B1:B268,"COMP*")</f>
        <v>7</v>
      </c>
      <c r="W6" s="351">
        <f>SUMIFS(L1:L268,B1:B268,"COMP*")</f>
        <v>35</v>
      </c>
      <c r="X6" s="351">
        <f>SUMIFS(K1:K268,B1:B268,"COMP*")</f>
        <v>120</v>
      </c>
      <c r="Y6" s="352">
        <f t="shared" si="3"/>
        <v>0.2916666667</v>
      </c>
      <c r="Z6" s="6"/>
    </row>
    <row r="7" ht="29.25" customHeight="1">
      <c r="A7" s="334">
        <f>A5+1</f>
        <v>5</v>
      </c>
      <c r="B7" s="335" t="s">
        <v>93</v>
      </c>
      <c r="C7" s="336" t="str">
        <f>VLOOKUP(B7,'HECVAT - Full'!A1:E312,2,FALSE)</f>
        <v>Do you have a Disaster Recovery Plan (DRP)?</v>
      </c>
      <c r="D7" s="334" t="str">
        <f>VLOOKUP(B7,'HECVAT - Full'!A1:E312,4,FALSE)</f>
        <v/>
      </c>
      <c r="E7" s="337" t="b">
        <v>1</v>
      </c>
      <c r="F7" s="335" t="s">
        <v>8</v>
      </c>
      <c r="G7" s="335" t="s">
        <v>90</v>
      </c>
      <c r="H7" s="338">
        <v>1.0</v>
      </c>
      <c r="I7" s="336" t="str">
        <f>VLOOKUP(B7,'HECVAT - Full'!A1:E312,3,FALSE)</f>
        <v>Yes</v>
      </c>
      <c r="J7" s="181">
        <v>1.0</v>
      </c>
      <c r="K7" s="181">
        <f t="shared" ref="K7:K9" si="5">IF(H7=1,10,"")</f>
        <v>10</v>
      </c>
      <c r="L7" s="181">
        <f t="shared" ref="L7:L268" si="6">IF(H7=1,J7*K7,"")</f>
        <v>10</v>
      </c>
      <c r="M7" s="198" t="str">
        <f>VLOOKUP($B7,'Standards Crosswalk'!$A1:$H321,3,FALSE)</f>
        <v>CSC 10</v>
      </c>
      <c r="N7" s="198" t="str">
        <f>VLOOKUP($B7,'Standards Crosswalk'!$A1:$H321,4,FALSE)</f>
        <v/>
      </c>
      <c r="O7" s="198" t="str">
        <f>VLOOKUP($B7,'Standards Crosswalk'!$A1:$H321,5,FALSE)</f>
        <v>17.1.2</v>
      </c>
      <c r="P7" s="198" t="str">
        <f>VLOOKUP($B7,'Standards Crosswalk'!$A1:$H321,6,FALSE)</f>
        <v>PR.IP-9</v>
      </c>
      <c r="Q7" s="198" t="str">
        <f>VLOOKUP($B7,'Standards Crosswalk'!$A1:$H321,7,FALSE)</f>
        <v>PR.IP-9</v>
      </c>
      <c r="R7" s="198" t="str">
        <f>VLOOKUP($B7,'Standards Crosswalk'!$A1:$H321,8,FALSE)</f>
        <v>CA-5, PL-2</v>
      </c>
      <c r="S7" s="347">
        <f>VLOOKUP($B7,'Standards Crosswalk'!$A1:$I321,9,FALSE)</f>
        <v>12.1</v>
      </c>
      <c r="T7" s="335" t="s">
        <v>3123</v>
      </c>
      <c r="U7" s="353">
        <f>COUNTIFS(B1:B268,"DATA*",J1:J268,"=1")</f>
        <v>15</v>
      </c>
      <c r="V7" s="354">
        <f>COUNTIF(B1:B268,"DATA*")</f>
        <v>27</v>
      </c>
      <c r="W7" s="354">
        <f>SUMIFS(L1:L268,B1:B268,"DATA*")</f>
        <v>330</v>
      </c>
      <c r="X7" s="354">
        <f>SUMIFS(K1:K268,B1:B268,"DATA*")</f>
        <v>565</v>
      </c>
      <c r="Y7" s="355">
        <f t="shared" si="3"/>
        <v>0.5840707965</v>
      </c>
      <c r="Z7" s="6"/>
    </row>
    <row r="8" ht="29.25" customHeight="1">
      <c r="A8" s="334">
        <f t="shared" ref="A8:A268" si="7">A7+1</f>
        <v>6</v>
      </c>
      <c r="B8" s="335" t="s">
        <v>95</v>
      </c>
      <c r="C8" s="336" t="str">
        <f>VLOOKUP(B8,'HECVAT - Full'!A1:E312,2,FALSE)</f>
        <v>Will data regulated by PCI DSS reside in the vended product?</v>
      </c>
      <c r="D8" s="334" t="str">
        <f>VLOOKUP(B8,'HECVAT - Full'!A1:E312,4,FALSE)</f>
        <v/>
      </c>
      <c r="E8" s="337" t="b">
        <v>1</v>
      </c>
      <c r="F8" s="335" t="s">
        <v>8</v>
      </c>
      <c r="G8" s="335" t="s">
        <v>85</v>
      </c>
      <c r="H8" s="338">
        <v>1.0</v>
      </c>
      <c r="I8" s="336" t="str">
        <f>VLOOKUP(B8,'HECVAT - Full'!A1:E312,3,FALSE)</f>
        <v>No</v>
      </c>
      <c r="J8" s="181">
        <v>1.0</v>
      </c>
      <c r="K8" s="181">
        <f t="shared" si="5"/>
        <v>10</v>
      </c>
      <c r="L8" s="181">
        <f t="shared" si="6"/>
        <v>10</v>
      </c>
      <c r="M8" s="198" t="str">
        <f>VLOOKUP($B8,'Standards Crosswalk'!$A1:$H321,3,FALSE)</f>
        <v>CSC 13</v>
      </c>
      <c r="N8" s="198" t="str">
        <f>VLOOKUP($B8,'Standards Crosswalk'!$A1:$H321,4,FALSE)</f>
        <v/>
      </c>
      <c r="O8" s="198" t="str">
        <f>VLOOKUP($B8,'Standards Crosswalk'!$A1:$H321,5,FALSE)</f>
        <v>18.1.1</v>
      </c>
      <c r="P8" s="198" t="str">
        <f>VLOOKUP($B8,'Standards Crosswalk'!$A1:$H321,6,FALSE)</f>
        <v>ID.GV-3</v>
      </c>
      <c r="Q8" s="198" t="str">
        <f>VLOOKUP($B8,'Standards Crosswalk'!$A1:$H321,7,FALSE)</f>
        <v>ID.GV-3</v>
      </c>
      <c r="R8" s="198" t="str">
        <f>VLOOKUP($B8,'Standards Crosswalk'!$A1:$H321,8,FALSE)</f>
        <v>RA-2</v>
      </c>
      <c r="S8" s="198" t="str">
        <f>VLOOKUP($B8,'Standards Crosswalk'!$A1:$I321,9,FALSE)</f>
        <v>PCI Scope, Discovery</v>
      </c>
      <c r="T8" s="356" t="s">
        <v>3124</v>
      </c>
      <c r="U8" s="345">
        <f>COUNTIFS(B1:B268,"DBAS*",J1:J268,"=1")</f>
        <v>2</v>
      </c>
      <c r="V8" s="345">
        <f>COUNTIF(B1:B268,"DBAS*")</f>
        <v>2</v>
      </c>
      <c r="W8" s="345">
        <f>SUMIFS(L1:L268,B1:B268,"DBAS*")</f>
        <v>50</v>
      </c>
      <c r="X8" s="345">
        <f>SUMIFS(K1:K268,B1:B268,"DBAS*")</f>
        <v>50</v>
      </c>
      <c r="Y8" s="346">
        <f t="shared" si="3"/>
        <v>1</v>
      </c>
      <c r="Z8" s="6"/>
    </row>
    <row r="9" ht="43.5" customHeight="1">
      <c r="A9" s="334">
        <f t="shared" si="7"/>
        <v>7</v>
      </c>
      <c r="B9" s="335" t="s">
        <v>97</v>
      </c>
      <c r="C9" s="336" t="str">
        <f>VLOOKUP(B9,'HECVAT - Full'!A1:E312,2,FALSE)</f>
        <v>Is your company a consulting firm providing only consultation to the Institution?</v>
      </c>
      <c r="D9" s="334" t="str">
        <f>VLOOKUP(B9,'HECVAT - Full'!A1:E312,4,FALSE)</f>
        <v/>
      </c>
      <c r="E9" s="337" t="b">
        <v>0</v>
      </c>
      <c r="F9" s="335" t="s">
        <v>8</v>
      </c>
      <c r="G9" s="335" t="s">
        <v>90</v>
      </c>
      <c r="H9" s="338">
        <v>1.0</v>
      </c>
      <c r="I9" s="336" t="str">
        <f>VLOOKUP(B9,'HECVAT - Full'!A1:E312,3,FALSE)</f>
        <v>No</v>
      </c>
      <c r="J9" s="181">
        <v>1.0</v>
      </c>
      <c r="K9" s="181">
        <f t="shared" si="5"/>
        <v>10</v>
      </c>
      <c r="L9" s="181">
        <f t="shared" si="6"/>
        <v>10</v>
      </c>
      <c r="M9" s="198" t="str">
        <f>VLOOKUP($B9,'Standards Crosswalk'!$A1:$H321,3,FALSE)</f>
        <v>CSC 14</v>
      </c>
      <c r="N9" s="198" t="str">
        <f>VLOOKUP($B9,'Standards Crosswalk'!$A1:$H321,4,FALSE)</f>
        <v/>
      </c>
      <c r="O9" s="198" t="str">
        <f>VLOOKUP($B9,'Standards Crosswalk'!$A1:$H321,5,FALSE)</f>
        <v/>
      </c>
      <c r="P9" s="198" t="str">
        <f>VLOOKUP($B9,'Standards Crosswalk'!$A1:$H321,6,FALSE)</f>
        <v/>
      </c>
      <c r="Q9" s="343" t="str">
        <f>VLOOKUP($B9,'Standards Crosswalk'!$A1:$H321,7,FALSE)</f>
        <v/>
      </c>
      <c r="R9" s="198" t="str">
        <f>VLOOKUP($B9,'Standards Crosswalk'!$A1:$H321,8,FALSE)</f>
        <v/>
      </c>
      <c r="S9" s="198" t="str">
        <f>VLOOKUP($B9,'Standards Crosswalk'!$A1:$I321,9,FALSE)</f>
        <v>PCI Scope</v>
      </c>
      <c r="T9" s="288" t="s">
        <v>3125</v>
      </c>
      <c r="U9" s="345">
        <f>COUNTIFS(B1:B268,"DCTR*",J1:J268,"=1")</f>
        <v>11</v>
      </c>
      <c r="V9" s="345">
        <f>COUNTIF(B1:B268,"DCTR*")</f>
        <v>18</v>
      </c>
      <c r="W9" s="345">
        <f>SUMIFS(L1:L268,B1:B268,"DCTR*")</f>
        <v>200</v>
      </c>
      <c r="X9" s="345">
        <f>SUMIFS(K1:K268,B1:B268,"DCTR*")</f>
        <v>310</v>
      </c>
      <c r="Y9" s="346">
        <f t="shared" si="3"/>
        <v>0.6451612903</v>
      </c>
      <c r="Z9" s="6"/>
    </row>
    <row r="10" ht="29.25" customHeight="1">
      <c r="A10" s="334">
        <f t="shared" si="7"/>
        <v>8</v>
      </c>
      <c r="B10" s="335" t="s">
        <v>99</v>
      </c>
      <c r="C10" s="336" t="str">
        <f>VLOOKUP(B10,'HECVAT - Full'!A1:E312,2,FALSE)</f>
        <v>Have you undergone a SSAE 18 audit?</v>
      </c>
      <c r="D10" s="339" t="str">
        <f>VLOOKUP(B10,'HECVAT - Full'!A1:E312,4,FALSE)</f>
        <v>We are working toward ISO 27001 certification</v>
      </c>
      <c r="E10" s="337" t="b">
        <f t="shared" ref="E10:E268" si="8">IF(K10&gt;20,TRUE,FALSE)</f>
        <v>0</v>
      </c>
      <c r="F10" s="357" t="s">
        <v>10</v>
      </c>
      <c r="G10" s="335" t="s">
        <v>90</v>
      </c>
      <c r="H10" s="338">
        <v>1.0</v>
      </c>
      <c r="I10" s="336" t="str">
        <f>VLOOKUP(B10,'HECVAT - Full'!A1:E312,3,FALSE)</f>
        <v>No</v>
      </c>
      <c r="J10" s="181">
        <f t="shared" ref="J10:J15" si="9">IF(G10=I10,1,0)</f>
        <v>0</v>
      </c>
      <c r="K10" s="181">
        <f>IF(H10=1,15,"")</f>
        <v>15</v>
      </c>
      <c r="L10" s="181">
        <f t="shared" si="6"/>
        <v>0</v>
      </c>
      <c r="M10" s="198" t="str">
        <f>VLOOKUP($B10,'Standards Crosswalk'!$A1:$H321,3,FALSE)</f>
        <v/>
      </c>
      <c r="N10" s="198" t="str">
        <f>VLOOKUP($B10,'Standards Crosswalk'!$A1:$H321,4,FALSE)</f>
        <v/>
      </c>
      <c r="O10" s="198" t="str">
        <f>VLOOKUP($B10,'Standards Crosswalk'!$A1:$H321,5,FALSE)</f>
        <v>15.2.1</v>
      </c>
      <c r="P10" s="198" t="str">
        <f>VLOOKUP($B10,'Standards Crosswalk'!$A1:$H321,6,FALSE)</f>
        <v/>
      </c>
      <c r="Q10" s="343" t="str">
        <f>VLOOKUP($B10,'Standards Crosswalk'!$A1:$H321,7,FALSE)</f>
        <v/>
      </c>
      <c r="R10" s="198" t="str">
        <f>VLOOKUP($B10,'Standards Crosswalk'!$A1:$H321,8,FALSE)</f>
        <v>SA-9</v>
      </c>
      <c r="S10" s="198" t="str">
        <f>VLOOKUP($B10,'Standards Crosswalk'!$A1:$I321,9,FALSE)</f>
        <v/>
      </c>
      <c r="T10" s="288" t="s">
        <v>3126</v>
      </c>
      <c r="U10" s="345">
        <f>COUNTIFS(B1:B268,"FIDP*",J1:J268,"=1")</f>
        <v>9</v>
      </c>
      <c r="V10" s="345">
        <f>COUNTIF(B1:B268,"FIDP*")</f>
        <v>12</v>
      </c>
      <c r="W10" s="345">
        <f>SUMIFS(L1:L268,B1:B268,"FIDP*")</f>
        <v>200</v>
      </c>
      <c r="X10" s="345">
        <f>SUMIFS(K1:K268,B1:B268,"FIDP*")</f>
        <v>265</v>
      </c>
      <c r="Y10" s="346">
        <f t="shared" si="3"/>
        <v>0.7547169811</v>
      </c>
      <c r="Z10" s="6"/>
    </row>
    <row r="11" ht="57.75" customHeight="1">
      <c r="A11" s="334">
        <f t="shared" si="7"/>
        <v>9</v>
      </c>
      <c r="B11" s="335" t="s">
        <v>102</v>
      </c>
      <c r="C11" s="336" t="str">
        <f>VLOOKUP(B11,'HECVAT - Full'!A1:E312,2,FALSE)</f>
        <v>Have you completed the Cloud Security Alliance (CSA) self assessment or CAIQ?</v>
      </c>
      <c r="D11" s="334" t="str">
        <f>VLOOKUP(B11,'HECVAT - Full'!A1:E312,4,FALSE)</f>
        <v>Both full and lite questionares are available here: https://ltiaas.com/compliance/CAIQ-Lite.pdf and https://ltiaas.com/compliance/CAIQ_v3.1_Final.xlsx</v>
      </c>
      <c r="E11" s="337" t="b">
        <f t="shared" si="8"/>
        <v>0</v>
      </c>
      <c r="F11" s="357" t="s">
        <v>10</v>
      </c>
      <c r="G11" s="335" t="s">
        <v>90</v>
      </c>
      <c r="H11" s="338">
        <v>1.0</v>
      </c>
      <c r="I11" s="336" t="str">
        <f>VLOOKUP(B11,'HECVAT - Full'!A1:E312,3,FALSE)</f>
        <v>Yes</v>
      </c>
      <c r="J11" s="181">
        <f t="shared" si="9"/>
        <v>1</v>
      </c>
      <c r="K11" s="181">
        <f>IF(H11=1,10,"")</f>
        <v>10</v>
      </c>
      <c r="L11" s="181">
        <f t="shared" si="6"/>
        <v>10</v>
      </c>
      <c r="M11" s="198" t="str">
        <f>VLOOKUP($B11,'Standards Crosswalk'!$A1:$H321,3,FALSE)</f>
        <v/>
      </c>
      <c r="N11" s="198" t="str">
        <f>VLOOKUP($B11,'Standards Crosswalk'!$A1:$H321,4,FALSE)</f>
        <v/>
      </c>
      <c r="O11" s="198" t="str">
        <f>VLOOKUP($B11,'Standards Crosswalk'!$A1:$H321,5,FALSE)</f>
        <v>15.2.1</v>
      </c>
      <c r="P11" s="198" t="str">
        <f>VLOOKUP($B11,'Standards Crosswalk'!$A1:$H321,6,FALSE)</f>
        <v/>
      </c>
      <c r="Q11" s="343" t="str">
        <f>VLOOKUP($B11,'Standards Crosswalk'!$A1:$H321,7,FALSE)</f>
        <v/>
      </c>
      <c r="R11" s="198" t="str">
        <f>VLOOKUP($B11,'Standards Crosswalk'!$A1:$H321,8,FALSE)</f>
        <v>PE-2, PE-3, PE-5, PE-11, PE-13, PE-14, SA-9</v>
      </c>
      <c r="S11" s="198" t="str">
        <f>VLOOKUP($B11,'Standards Crosswalk'!$A1:$I321,9,FALSE)</f>
        <v/>
      </c>
      <c r="T11" s="288" t="s">
        <v>3127</v>
      </c>
      <c r="U11" s="345">
        <f>COUNTIFS(B1:B268,"PHYS*",J1:J268,"=1")</f>
        <v>1</v>
      </c>
      <c r="V11" s="345">
        <f>COUNTIF(B1:B268,"PHYS*")</f>
        <v>5</v>
      </c>
      <c r="W11" s="345">
        <f>SUMIFS(L1:L268,B1:B268,"PHYS*")</f>
        <v>25</v>
      </c>
      <c r="X11" s="345">
        <f>SUMIFS(K1:K268,B1:B268,"PHYS*")</f>
        <v>100</v>
      </c>
      <c r="Y11" s="346">
        <f t="shared" si="3"/>
        <v>0.25</v>
      </c>
      <c r="Z11" s="6"/>
    </row>
    <row r="12" ht="57.75" customHeight="1">
      <c r="A12" s="334">
        <f t="shared" si="7"/>
        <v>10</v>
      </c>
      <c r="B12" s="335" t="s">
        <v>105</v>
      </c>
      <c r="C12" s="336" t="str">
        <f>VLOOKUP(B12,'HECVAT - Full'!A1:E312,2,FALSE)</f>
        <v>Have you received the Cloud Security Alliance STAR certification?</v>
      </c>
      <c r="D12" s="339" t="str">
        <f>VLOOKUP(B12,'HECVAT - Full'!A1:E312,4,FALSE)</f>
        <v>We are working toward ISO 27001 certification</v>
      </c>
      <c r="E12" s="337" t="b">
        <f t="shared" si="8"/>
        <v>0</v>
      </c>
      <c r="F12" s="357" t="s">
        <v>10</v>
      </c>
      <c r="G12" s="335" t="s">
        <v>90</v>
      </c>
      <c r="H12" s="338">
        <v>1.0</v>
      </c>
      <c r="I12" s="336" t="str">
        <f>VLOOKUP(B12,'HECVAT - Full'!A1:E312,3,FALSE)</f>
        <v>No</v>
      </c>
      <c r="J12" s="181">
        <f t="shared" si="9"/>
        <v>0</v>
      </c>
      <c r="K12" s="181">
        <f>IF(H12=1,15,"")</f>
        <v>15</v>
      </c>
      <c r="L12" s="181">
        <f t="shared" si="6"/>
        <v>0</v>
      </c>
      <c r="M12" s="198" t="str">
        <f>VLOOKUP($B12,'Standards Crosswalk'!$A1:$H321,3,FALSE)</f>
        <v/>
      </c>
      <c r="N12" s="198" t="str">
        <f>VLOOKUP($B12,'Standards Crosswalk'!$A1:$H321,4,FALSE)</f>
        <v/>
      </c>
      <c r="O12" s="198" t="str">
        <f>VLOOKUP($B12,'Standards Crosswalk'!$A1:$H321,5,FALSE)</f>
        <v>15.2.1</v>
      </c>
      <c r="P12" s="198" t="str">
        <f>VLOOKUP($B12,'Standards Crosswalk'!$A1:$H321,6,FALSE)</f>
        <v/>
      </c>
      <c r="Q12" s="343" t="str">
        <f>VLOOKUP($B12,'Standards Crosswalk'!$A1:$H321,7,FALSE)</f>
        <v/>
      </c>
      <c r="R12" s="198" t="str">
        <f>VLOOKUP($B12,'Standards Crosswalk'!$A1:$H321,8,FALSE)</f>
        <v>PE-2, PE-3, PE-5, PE-11, PE-13, PE-14, SA-9</v>
      </c>
      <c r="S12" s="198" t="str">
        <f>VLOOKUP($B12,'Standards Crosswalk'!$A1:$I321,9,FALSE)</f>
        <v/>
      </c>
      <c r="T12" s="288" t="s">
        <v>3128</v>
      </c>
      <c r="U12" s="345">
        <f>COUNTIFS(B1:B268,"PPPR*",J1:J268,"=1")</f>
        <v>20</v>
      </c>
      <c r="V12" s="345">
        <f>COUNTIF(B1:B268,"PPPR*")</f>
        <v>20</v>
      </c>
      <c r="W12" s="345">
        <f>SUMIFS(L1:L268,B1:B268,"PPPR*")</f>
        <v>420</v>
      </c>
      <c r="X12" s="345">
        <f>SUMIFS(K1:K268,B1:B268,"PPPR*")</f>
        <v>420</v>
      </c>
      <c r="Y12" s="346">
        <f t="shared" si="3"/>
        <v>1</v>
      </c>
      <c r="Z12" s="6"/>
    </row>
    <row r="13" ht="72.0" customHeight="1">
      <c r="A13" s="334">
        <f t="shared" si="7"/>
        <v>11</v>
      </c>
      <c r="B13" s="335" t="s">
        <v>107</v>
      </c>
      <c r="C13" s="336" t="str">
        <f>VLOOKUP(B13,'HECVAT - Full'!A1:E312,2,FALSE)</f>
        <v>Do you conform with a specific industry standard security framework? (e.g. NIST Cybersecurity Framework, ISO 27001, etc.)</v>
      </c>
      <c r="D13" s="358" t="str">
        <f>VLOOKUP(B13,'HECVAT - Full'!A1:E312,4,FALSE)</f>
        <v>We have had security consultants evaluate our policies and systems, and they have told us after review that we meet the basic requirements for ISO 27001 conformality. However, we have not finished the while certification process formally.</v>
      </c>
      <c r="E13" s="337" t="b">
        <f t="shared" si="8"/>
        <v>1</v>
      </c>
      <c r="F13" s="357" t="s">
        <v>10</v>
      </c>
      <c r="G13" s="335" t="s">
        <v>90</v>
      </c>
      <c r="H13" s="338">
        <v>1.0</v>
      </c>
      <c r="I13" s="336" t="str">
        <f>VLOOKUP(B13,'HECVAT - Full'!A1:E312,3,FALSE)</f>
        <v>Yes</v>
      </c>
      <c r="J13" s="181">
        <f t="shared" si="9"/>
        <v>1</v>
      </c>
      <c r="K13" s="181">
        <f>IF(H13=1,25,"")</f>
        <v>25</v>
      </c>
      <c r="L13" s="181">
        <f t="shared" si="6"/>
        <v>25</v>
      </c>
      <c r="M13" s="198" t="str">
        <f>VLOOKUP($B13,'Standards Crosswalk'!$A1:$H321,3,FALSE)</f>
        <v/>
      </c>
      <c r="N13" s="198" t="str">
        <f>VLOOKUP($B13,'Standards Crosswalk'!$A1:$H321,4,FALSE)</f>
        <v/>
      </c>
      <c r="O13" s="198" t="str">
        <f>VLOOKUP($B13,'Standards Crosswalk'!$A1:$H321,5,FALSE)</f>
        <v>18.1.1</v>
      </c>
      <c r="P13" s="198" t="str">
        <f>VLOOKUP($B13,'Standards Crosswalk'!$A1:$H321,6,FALSE)</f>
        <v/>
      </c>
      <c r="Q13" s="343" t="str">
        <f>VLOOKUP($B13,'Standards Crosswalk'!$A1:$H321,7,FALSE)</f>
        <v/>
      </c>
      <c r="R13" s="198" t="str">
        <f>VLOOKUP($B13,'Standards Crosswalk'!$A1:$H321,8,FALSE)</f>
        <v>SA-9</v>
      </c>
      <c r="S13" s="198" t="str">
        <f>VLOOKUP($B13,'Standards Crosswalk'!$A1:$I321,9,FALSE)</f>
        <v>12.1, Scope</v>
      </c>
      <c r="T13" s="359" t="s">
        <v>3129</v>
      </c>
      <c r="U13" s="351">
        <f>COUNTIFS(B1:B268,"SYST*",J1:J268,"=1")</f>
        <v>3</v>
      </c>
      <c r="V13" s="351">
        <f>COUNTIF(B1:B268,"SYST*")</f>
        <v>4</v>
      </c>
      <c r="W13" s="351">
        <f>SUMIFS(L1:L268,B1:B268,"SYST*")</f>
        <v>55</v>
      </c>
      <c r="X13" s="351">
        <f>SUMIFS(K1:K268,B1:B268,"SYST*")</f>
        <v>70</v>
      </c>
      <c r="Y13" s="352">
        <f t="shared" si="3"/>
        <v>0.7857142857</v>
      </c>
      <c r="Z13" s="6"/>
    </row>
    <row r="14" ht="29.25" customHeight="1">
      <c r="A14" s="334">
        <f t="shared" si="7"/>
        <v>12</v>
      </c>
      <c r="B14" s="335" t="s">
        <v>110</v>
      </c>
      <c r="C14" s="336" t="str">
        <f>VLOOKUP(B14,'HECVAT - Full'!A1:E312,2,FALSE)</f>
        <v>Are you compliant with FISMA standards?</v>
      </c>
      <c r="D14" s="339" t="str">
        <f>VLOOKUP(B14,'HECVAT - Full'!A1:E312,4,FALSE)</f>
        <v>We have not looked into FISMA specifically so compliance is unknown at this time. We will be working towards this compliance at a later date.</v>
      </c>
      <c r="E14" s="337" t="b">
        <f t="shared" si="8"/>
        <v>0</v>
      </c>
      <c r="F14" s="357" t="s">
        <v>10</v>
      </c>
      <c r="G14" s="335" t="s">
        <v>90</v>
      </c>
      <c r="H14" s="338">
        <v>1.0</v>
      </c>
      <c r="I14" s="336" t="str">
        <f>VLOOKUP(B14,'HECVAT - Full'!A1:E312,3,FALSE)</f>
        <v>No</v>
      </c>
      <c r="J14" s="181">
        <f t="shared" si="9"/>
        <v>0</v>
      </c>
      <c r="K14" s="181">
        <f>IF(H14=1,15,"")</f>
        <v>15</v>
      </c>
      <c r="L14" s="181">
        <f t="shared" si="6"/>
        <v>0</v>
      </c>
      <c r="M14" s="198" t="str">
        <f>VLOOKUP($B14,'Standards Crosswalk'!$A1:$H321,3,FALSE)</f>
        <v/>
      </c>
      <c r="N14" s="198" t="str">
        <f>VLOOKUP($B14,'Standards Crosswalk'!$A1:$H321,4,FALSE)</f>
        <v/>
      </c>
      <c r="O14" s="198" t="str">
        <f>VLOOKUP($B14,'Standards Crosswalk'!$A1:$H321,5,FALSE)</f>
        <v>18.1.1</v>
      </c>
      <c r="P14" s="198" t="str">
        <f>VLOOKUP($B14,'Standards Crosswalk'!$A1:$H321,6,FALSE)</f>
        <v/>
      </c>
      <c r="Q14" s="343" t="str">
        <f>VLOOKUP($B14,'Standards Crosswalk'!$A1:$H321,7,FALSE)</f>
        <v/>
      </c>
      <c r="R14" s="198" t="str">
        <f>VLOOKUP($B14,'Standards Crosswalk'!$A1:$H321,8,FALSE)</f>
        <v>SA-9</v>
      </c>
      <c r="S14" s="198" t="str">
        <f>VLOOKUP($B14,'Standards Crosswalk'!$A1:$I321,9,FALSE)</f>
        <v/>
      </c>
      <c r="T14" s="360" t="s">
        <v>3130</v>
      </c>
      <c r="U14" s="354">
        <f>COUNTIFS(B1:B268,"VULN*",J1:J268,"=1")</f>
        <v>7</v>
      </c>
      <c r="V14" s="354">
        <f>COUNTIF(B1:B268,"VULN*")</f>
        <v>9</v>
      </c>
      <c r="W14" s="354">
        <f>SUMIFS(L1:L268,B1:B268,"VULN*")</f>
        <v>160</v>
      </c>
      <c r="X14" s="354">
        <f>SUMIFS(K1:K268,B1:B268,"VULN*")</f>
        <v>195</v>
      </c>
      <c r="Y14" s="355">
        <f t="shared" si="3"/>
        <v>0.8205128205</v>
      </c>
      <c r="Z14" s="6"/>
    </row>
    <row r="15" ht="29.25" customHeight="1">
      <c r="A15" s="334">
        <f t="shared" si="7"/>
        <v>13</v>
      </c>
      <c r="B15" s="335" t="s">
        <v>113</v>
      </c>
      <c r="C15" s="336" t="str">
        <f>VLOOKUP(B15,'HECVAT - Full'!A1:E312,2,FALSE)</f>
        <v>Does your organization have a data privacy policy?</v>
      </c>
      <c r="D15" s="361" t="str">
        <f>VLOOKUP(B15,'HECVAT - Full'!A1:E312,4,FALSE)</f>
        <v>https://ltiaas.com/privacy-policy</v>
      </c>
      <c r="E15" s="337" t="b">
        <f t="shared" si="8"/>
        <v>1</v>
      </c>
      <c r="F15" s="357" t="s">
        <v>10</v>
      </c>
      <c r="G15" s="335" t="s">
        <v>90</v>
      </c>
      <c r="H15" s="338">
        <v>1.0</v>
      </c>
      <c r="I15" s="336" t="str">
        <f>VLOOKUP(B15,'HECVAT - Full'!A1:E312,3,FALSE)</f>
        <v>Yes</v>
      </c>
      <c r="J15" s="181">
        <f t="shared" si="9"/>
        <v>1</v>
      </c>
      <c r="K15" s="181">
        <f t="shared" ref="K15:K19" si="10">IF(H15=1,25,"")</f>
        <v>25</v>
      </c>
      <c r="L15" s="181">
        <f t="shared" si="6"/>
        <v>25</v>
      </c>
      <c r="M15" s="198" t="str">
        <f>VLOOKUP($B15,'Standards Crosswalk'!$A1:$H321,3,FALSE)</f>
        <v/>
      </c>
      <c r="N15" s="198" t="str">
        <f>VLOOKUP($B15,'Standards Crosswalk'!$A1:$H321,4,FALSE)</f>
        <v>§164.308(a)(1)(i)</v>
      </c>
      <c r="O15" s="198" t="str">
        <f>VLOOKUP($B15,'Standards Crosswalk'!$A1:$H321,5,FALSE)</f>
        <v>18.1.4</v>
      </c>
      <c r="P15" s="198" t="str">
        <f>VLOOKUP($B15,'Standards Crosswalk'!$A1:$H321,6,FALSE)</f>
        <v>ID.GV-3</v>
      </c>
      <c r="Q15" s="198" t="str">
        <f>VLOOKUP($B15,'Standards Crosswalk'!$A1:$H321,7,FALSE)</f>
        <v>ID.GV-3</v>
      </c>
      <c r="R15" s="198" t="str">
        <f>VLOOKUP($B15,'Standards Crosswalk'!$A1:$H321,8,FALSE)</f>
        <v>SA-9</v>
      </c>
      <c r="S15" s="198" t="str">
        <f>VLOOKUP($B15,'Standards Crosswalk'!$A1:$I321,9,FALSE)</f>
        <v/>
      </c>
      <c r="T15" s="198" t="str">
        <f>IF(I2="Yes","HIPAA","")</f>
        <v/>
      </c>
      <c r="U15" s="198" t="str">
        <f>IF(I2="Yes",(COUNTIFS(B1:B268,"HIPA*",J1:J268,"=1")),"")</f>
        <v/>
      </c>
      <c r="V15" s="198" t="str">
        <f>IF(I2="Yes",(COUNTIF(B1:B268,"HIPA*")),"")</f>
        <v/>
      </c>
      <c r="W15" s="198" t="str">
        <f>IF(I2="Yes",(SUMIFS(L1:L268,B1:B268,"HIPA*")),"")</f>
        <v/>
      </c>
      <c r="X15" s="198" t="str">
        <f>IF(I2="Yes",(SUMIFS(K1:K268,B1:B268,"HIPA*")),"")</f>
        <v/>
      </c>
      <c r="Y15" s="198" t="str">
        <f t="shared" ref="Y15:Y18" si="11">IF(I2="Yes",(W15/X15),"")</f>
        <v/>
      </c>
      <c r="Z15" s="6"/>
    </row>
    <row r="16" ht="28.5" customHeight="1">
      <c r="A16" s="334">
        <f t="shared" si="7"/>
        <v>14</v>
      </c>
      <c r="B16" s="335" t="s">
        <v>139</v>
      </c>
      <c r="C16" s="336" t="str">
        <f>VLOOKUP(B16,'HECVAT - Full'!A1:E312,2,FALSE)</f>
        <v>Describe how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v>
      </c>
      <c r="D16" s="334" t="str">
        <f>VLOOKUP(B16,'HECVAT - Full'!A1:E312,4,FALSE)</f>
        <v/>
      </c>
      <c r="E16" s="337" t="b">
        <f t="shared" si="8"/>
        <v>1</v>
      </c>
      <c r="F16" s="335" t="s">
        <v>3131</v>
      </c>
      <c r="G16" s="335" t="s">
        <v>90</v>
      </c>
      <c r="H16" s="338">
        <v>1.0</v>
      </c>
      <c r="I16" s="336" t="str">
        <f>VLOOKUP(B16,'HECVAT - Full'!A1:E312,3,FALSE)</f>
        <v>All of our third party providers must themselves be SOC-2 or ISO-27001 certified. We don’t enter into contracts with third parties that do not have documented security compliance that meets our standards.</v>
      </c>
      <c r="J16" s="181">
        <f>IF(VLOOKUP(B16,'Analyst Report'!$A$41:$G$88,7,FALSE)="Yes",1,0)</f>
        <v>0</v>
      </c>
      <c r="K16" s="181">
        <f t="shared" si="10"/>
        <v>25</v>
      </c>
      <c r="L16" s="181">
        <f t="shared" si="6"/>
        <v>0</v>
      </c>
      <c r="M16" s="198" t="str">
        <f>VLOOKUP($B16,'Standards Crosswalk'!$A1:$H321,3,FALSE)</f>
        <v>CSC 13</v>
      </c>
      <c r="N16" s="198" t="str">
        <f>VLOOKUP($B16,'Standards Crosswalk'!$A1:$H321,4,FALSE)</f>
        <v/>
      </c>
      <c r="O16" s="198" t="str">
        <f>VLOOKUP($B16,'Standards Crosswalk'!$A1:$H321,5,FALSE)</f>
        <v>15.1.3</v>
      </c>
      <c r="P16" s="198" t="str">
        <f>VLOOKUP($B16,'Standards Crosswalk'!$A1:$H321,6,FALSE)</f>
        <v>ID.AM-6, PR-AT-3</v>
      </c>
      <c r="Q16" s="198" t="str">
        <f>VLOOKUP($B16,'Standards Crosswalk'!$A1:$H321,7,FALSE)</f>
        <v>3.8.2</v>
      </c>
      <c r="R16" s="198" t="str">
        <f>VLOOKUP($B16,'Standards Crosswalk'!$A1:$H321,8,FALSE)</f>
        <v>MP-2, RA-3</v>
      </c>
      <c r="S16" s="343">
        <f>VLOOKUP($B16,'Standards Crosswalk'!$A1:$I321,9,FALSE)</f>
        <v>12.8</v>
      </c>
      <c r="T16" s="198" t="str">
        <f>IF(I3="Yes","Mobile App","")</f>
        <v/>
      </c>
      <c r="U16" s="198" t="str">
        <f>IF(I3="Yes",(COUNTIFS(B1:B268,"MAPP*",J1:J268,"=1")),"")</f>
        <v/>
      </c>
      <c r="V16" s="198" t="str">
        <f>IF(I3="Yes",(COUNTIF(B1:B268,"MAPP*")),"")</f>
        <v/>
      </c>
      <c r="W16" s="198" t="str">
        <f>IF(I3="Yes",(SUMIFS(L1:L268,B1:B268,"MAPP*")),"")</f>
        <v/>
      </c>
      <c r="X16" s="198" t="str">
        <f>IF(I3="Yes",(SUMIFS(K1:K268,B1:B268,"MAPP*")),"")</f>
        <v/>
      </c>
      <c r="Y16" s="198" t="str">
        <f t="shared" si="11"/>
        <v/>
      </c>
      <c r="Z16" s="6"/>
    </row>
    <row r="17" ht="28.5" customHeight="1">
      <c r="A17" s="334">
        <f t="shared" si="7"/>
        <v>15</v>
      </c>
      <c r="B17" s="335" t="s">
        <v>143</v>
      </c>
      <c r="C17" s="336" t="str">
        <f>VLOOKUP(B17,'HECVAT - Full'!A1:E312,2,FALSE)</f>
        <v>Provide a brief description for why each of these third parties will have access to institution data.</v>
      </c>
      <c r="D17" s="334" t="str">
        <f>VLOOKUP(B17,'HECVAT - Full'!A1:E312,4,FALSE)</f>
        <v/>
      </c>
      <c r="E17" s="337" t="b">
        <f t="shared" si="8"/>
        <v>1</v>
      </c>
      <c r="F17" s="335" t="s">
        <v>3131</v>
      </c>
      <c r="G17" s="335" t="s">
        <v>90</v>
      </c>
      <c r="H17" s="338">
        <v>1.0</v>
      </c>
      <c r="I17" s="336" t="str">
        <f>VLOOKUP(B17,'HECVAT - Full'!A1:E312,3,FALSE)</f>
        <v>We only share learning data with Google Cloud as they are hosting our SaaS offering on their infrastructure. We share it only indirectly in that we transfer encrypted live data through their infrastructure. No learning data is stored in backups, but metadata and customer account data is backed up in encrypted storage buckets.</v>
      </c>
      <c r="J17" s="181">
        <f>IF(VLOOKUP(B17,'Analyst Report'!$A$41:$G$88,7,FALSE)="Yes",1,0)</f>
        <v>0</v>
      </c>
      <c r="K17" s="181">
        <f t="shared" si="10"/>
        <v>25</v>
      </c>
      <c r="L17" s="181">
        <f t="shared" si="6"/>
        <v>0</v>
      </c>
      <c r="M17" s="198" t="str">
        <f>VLOOKUP($B17,'Standards Crosswalk'!$A1:$H321,3,FALSE)</f>
        <v>CSC 13</v>
      </c>
      <c r="N17" s="198" t="str">
        <f>VLOOKUP($B17,'Standards Crosswalk'!$A1:$H321,4,FALSE)</f>
        <v/>
      </c>
      <c r="O17" s="198" t="str">
        <f>VLOOKUP($B17,'Standards Crosswalk'!$A1:$H321,5,FALSE)</f>
        <v>15.1.3</v>
      </c>
      <c r="P17" s="198" t="str">
        <f>VLOOKUP($B17,'Standards Crosswalk'!$A1:$H321,6,FALSE)</f>
        <v>ID.AM-6, PR-AT-3</v>
      </c>
      <c r="Q17" s="198" t="str">
        <f>VLOOKUP($B17,'Standards Crosswalk'!$A1:$H321,7,FALSE)</f>
        <v>3.8.2</v>
      </c>
      <c r="R17" s="198" t="str">
        <f>VLOOKUP($B17,'Standards Crosswalk'!$A1:$H321,8,FALSE)</f>
        <v/>
      </c>
      <c r="S17" s="343">
        <f>VLOOKUP($B17,'Standards Crosswalk'!$A1:$I321,9,FALSE)</f>
        <v>12.8</v>
      </c>
      <c r="T17" s="198" t="str">
        <f>IF(I4="Yes","Third Parties","")</f>
        <v>Third Parties</v>
      </c>
      <c r="U17" s="181">
        <f>IF(I4="Yes",(COUNTIFS(B1:B268,"THRD*",J1:J268,"=1")),"")</f>
        <v>0</v>
      </c>
      <c r="V17" s="181">
        <f>IF(I4="Yes",(COUNTIF(B1:B268,"THRD*")),"")</f>
        <v>4</v>
      </c>
      <c r="W17" s="181">
        <f>IF(I4="Yes",(SUMIFS(L1:L268,B1:B268,"THRD*")),"")</f>
        <v>0</v>
      </c>
      <c r="X17" s="181">
        <f>IF(I4="Yes",(SUMIFS(K1:K268,B1:B268,"THRD*")),"")</f>
        <v>100</v>
      </c>
      <c r="Y17" s="362">
        <f t="shared" si="11"/>
        <v>0</v>
      </c>
      <c r="Z17" s="6"/>
    </row>
    <row r="18" ht="15.75" customHeight="1">
      <c r="A18" s="334">
        <f t="shared" si="7"/>
        <v>16</v>
      </c>
      <c r="B18" s="335" t="s">
        <v>147</v>
      </c>
      <c r="C18" s="336" t="str">
        <f>VLOOKUP(B18,'HECVAT - Full'!A1:E312,2,FALSE)</f>
        <v>What legal agreements (i.e. contracts) do you have in place with these third parties that address liability in the event of a data breach?</v>
      </c>
      <c r="D18" s="334" t="str">
        <f>VLOOKUP(B18,'HECVAT - Full'!A1:E312,4,FALSE)</f>
        <v/>
      </c>
      <c r="E18" s="337" t="b">
        <f t="shared" si="8"/>
        <v>1</v>
      </c>
      <c r="F18" s="335" t="s">
        <v>3131</v>
      </c>
      <c r="G18" s="335" t="s">
        <v>90</v>
      </c>
      <c r="H18" s="338">
        <v>1.0</v>
      </c>
      <c r="I18" s="336" t="str">
        <f>VLOOKUP(B18,'HECVAT - Full'!A1:E312,3,FALSE)</f>
        <v>Google Cloud has clearly documented policies that are in place to manage data breaches: https://cloud.google.com/docs/security/incident-response and https://cloud.google.com/terms/data-processing-addendum</v>
      </c>
      <c r="J18" s="181">
        <f>IF(VLOOKUP(B18,'Analyst Report'!$A$41:$G$88,7,FALSE)="Yes",1,0)</f>
        <v>0</v>
      </c>
      <c r="K18" s="181">
        <f t="shared" si="10"/>
        <v>25</v>
      </c>
      <c r="L18" s="181">
        <f t="shared" si="6"/>
        <v>0</v>
      </c>
      <c r="M18" s="198" t="str">
        <f>VLOOKUP($B18,'Standards Crosswalk'!$A1:$H321,3,FALSE)</f>
        <v>CSC 13</v>
      </c>
      <c r="N18" s="198" t="str">
        <f>VLOOKUP($B18,'Standards Crosswalk'!$A1:$H321,4,FALSE)</f>
        <v/>
      </c>
      <c r="O18" s="198" t="str">
        <f>VLOOKUP($B18,'Standards Crosswalk'!$A1:$H321,5,FALSE)</f>
        <v>15.1.3</v>
      </c>
      <c r="P18" s="198" t="str">
        <f>VLOOKUP($B18,'Standards Crosswalk'!$A1:$H321,6,FALSE)</f>
        <v>ID.GV-3</v>
      </c>
      <c r="Q18" s="343" t="str">
        <f>VLOOKUP($B18,'Standards Crosswalk'!$A1:$H321,7,FALSE)</f>
        <v/>
      </c>
      <c r="R18" s="198" t="str">
        <f>VLOOKUP($B18,'Standards Crosswalk'!$A1:$H321,8,FALSE)</f>
        <v>PS-3</v>
      </c>
      <c r="S18" s="343">
        <f>VLOOKUP($B18,'Standards Crosswalk'!$A1:$I321,9,FALSE)</f>
        <v>12.8</v>
      </c>
      <c r="T18" s="198" t="str">
        <f>IF(I5="Yes","Business Continuity Plan","")</f>
        <v>Business Continuity Plan</v>
      </c>
      <c r="U18" s="181">
        <f>IF(I5="Yes",(COUNTIFS(B1:B268,"BCPL*",J1:J268,"=1")),"")</f>
        <v>11</v>
      </c>
      <c r="V18" s="181">
        <f>IF(I5="Yes",(COUNTIF(B1:B268,"BCPL*")),"")</f>
        <v>12</v>
      </c>
      <c r="W18" s="181">
        <f>IF(I5="Yes",(SUMIFS(L1:L268,B1:B268,"BCPL*")),"")</f>
        <v>225</v>
      </c>
      <c r="X18" s="181">
        <f>IF(I5="Yes",(SUMIFS(K1:K268,B1:B268,"BCPL*")),"")</f>
        <v>250</v>
      </c>
      <c r="Y18" s="362">
        <f t="shared" si="11"/>
        <v>0.9</v>
      </c>
      <c r="Z18" s="6"/>
    </row>
    <row r="19" ht="100.5" customHeight="1">
      <c r="A19" s="334">
        <f t="shared" si="7"/>
        <v>17</v>
      </c>
      <c r="B19" s="335" t="s">
        <v>151</v>
      </c>
      <c r="C19" s="336" t="str">
        <f>VLOOKUP(B19,'HECVAT - Full'!A1:E312,2,FALSE)</f>
        <v>Describe or provide references to your third party management strategy or provide additional information that may help analysts better understand your environment and how it relates to third-party solutions.</v>
      </c>
      <c r="D19" s="334" t="str">
        <f>VLOOKUP(B19,'HECVAT - Full'!A1:E312,4,FALSE)</f>
        <v/>
      </c>
      <c r="E19" s="337" t="b">
        <f t="shared" si="8"/>
        <v>1</v>
      </c>
      <c r="F19" s="335" t="s">
        <v>3131</v>
      </c>
      <c r="G19" s="335" t="s">
        <v>90</v>
      </c>
      <c r="H19" s="338">
        <v>1.0</v>
      </c>
      <c r="I19" s="336" t="str">
        <f>VLOOKUP(B19,'HECVAT - Full'!A1:E312,3,FALSE)</f>
        <v>We are a small company, so it is very easy for us to limit our list of third party data processors and manage our existing list. Today, there are only a handful third parties we work with: https://ltiaas.com/compliance. Only Google Cloud manages learning data. Because the company has two staff members it is easy for us to manage our third party interactions. We intend for our list of third parties to not change.</v>
      </c>
      <c r="J19" s="181">
        <f>IF(VLOOKUP(B19,'Analyst Report'!$A$41:$G$88,7,FALSE)="Yes",1,0)</f>
        <v>0</v>
      </c>
      <c r="K19" s="181">
        <f t="shared" si="10"/>
        <v>25</v>
      </c>
      <c r="L19" s="181">
        <f t="shared" si="6"/>
        <v>0</v>
      </c>
      <c r="M19" s="198" t="str">
        <f>VLOOKUP($B19,'Standards Crosswalk'!$A1:$H321,3,FALSE)</f>
        <v/>
      </c>
      <c r="N19" s="198" t="str">
        <f>VLOOKUP($B19,'Standards Crosswalk'!$A1:$H321,4,FALSE)</f>
        <v/>
      </c>
      <c r="O19" s="198" t="str">
        <f>VLOOKUP($B19,'Standards Crosswalk'!$A1:$H321,5,FALSE)</f>
        <v>15.1.3</v>
      </c>
      <c r="P19" s="198" t="str">
        <f>VLOOKUP($B19,'Standards Crosswalk'!$A1:$H321,6,FALSE)</f>
        <v>ID.AM-6, PR.AT-3</v>
      </c>
      <c r="Q19" s="343" t="str">
        <f>VLOOKUP($B19,'Standards Crosswalk'!$A1:$H321,7,FALSE)</f>
        <v/>
      </c>
      <c r="R19" s="198" t="str">
        <f>VLOOKUP($B19,'Standards Crosswalk'!$A1:$H321,8,FALSE)</f>
        <v>PS-5</v>
      </c>
      <c r="S19" s="343">
        <f>VLOOKUP($B19,'Standards Crosswalk'!$A1:$I321,9,FALSE)</f>
        <v>12.8</v>
      </c>
      <c r="T19" s="198" t="str">
        <f>IF(I7="Yes","Disaster Recovery Plan","")</f>
        <v>Disaster Recovery Plan</v>
      </c>
      <c r="U19" s="181">
        <f>IF(I7="Yes",(COUNTIFS(B1:B268,"DRPL*",J1:J268,"=1")),"")</f>
        <v>10</v>
      </c>
      <c r="V19" s="181">
        <f>IF(I7="Yes",(COUNTIF(B1:B268,"DRPL*")),"")</f>
        <v>13</v>
      </c>
      <c r="W19" s="181">
        <f>IF(I7="Yes",(SUMIFS(L1:L268,B1:B268,"DRPL*")),"")</f>
        <v>205</v>
      </c>
      <c r="X19" s="181">
        <f>IF(I7="Yes",(SUMIFS(K1:K268,B1:B268,"DRPL*")),"")</f>
        <v>270</v>
      </c>
      <c r="Y19" s="362">
        <f t="shared" ref="Y19:Y21" si="12">IF(I7="Yes",(W19/X19),"")</f>
        <v>0.7592592593</v>
      </c>
      <c r="Z19" s="6"/>
    </row>
    <row r="20" ht="29.25" customHeight="1">
      <c r="A20" s="334">
        <f t="shared" si="7"/>
        <v>18</v>
      </c>
      <c r="B20" s="335" t="s">
        <v>155</v>
      </c>
      <c r="C20" s="336" t="str">
        <f>VLOOKUP(B20,'HECVAT - Full'!A1:E312,2,FALSE)</f>
        <v>Will the consulting take place on-premises?</v>
      </c>
      <c r="D20" s="358" t="str">
        <f>VLOOKUP(B20,'HECVAT - Full'!A1:E312,4,FALSE)</f>
        <v/>
      </c>
      <c r="E20" s="337" t="b">
        <f t="shared" si="8"/>
        <v>0</v>
      </c>
      <c r="F20" s="357" t="s">
        <v>3132</v>
      </c>
      <c r="G20" s="335" t="s">
        <v>90</v>
      </c>
      <c r="H20" s="338">
        <v>1.0</v>
      </c>
      <c r="I20" s="336" t="str">
        <f>VLOOKUP(B20,'HECVAT - Full'!A1:E312,3,FALSE)</f>
        <v>No</v>
      </c>
      <c r="J20" s="181">
        <f t="shared" ref="J20:J27" si="13">IF(G20=I20,1,0)</f>
        <v>0</v>
      </c>
      <c r="K20" s="181">
        <f t="shared" ref="K20:K21" si="14">IF(H20=1,20,"")</f>
        <v>20</v>
      </c>
      <c r="L20" s="181">
        <f t="shared" si="6"/>
        <v>0</v>
      </c>
      <c r="M20" s="198" t="str">
        <f>VLOOKUP($B20,'Standards Crosswalk'!$A1:$H321,3,FALSE)</f>
        <v/>
      </c>
      <c r="N20" s="198" t="str">
        <f>VLOOKUP($B20,'Standards Crosswalk'!$A1:$H321,4,FALSE)</f>
        <v/>
      </c>
      <c r="O20" s="198" t="str">
        <f>VLOOKUP($B20,'Standards Crosswalk'!$A1:$H321,5,FALSE)</f>
        <v>15.2.1</v>
      </c>
      <c r="P20" s="198" t="str">
        <f>VLOOKUP($B20,'Standards Crosswalk'!$A1:$H321,6,FALSE)</f>
        <v>ID.AM-6, PR.AT-3</v>
      </c>
      <c r="Q20" s="343" t="str">
        <f>VLOOKUP($B20,'Standards Crosswalk'!$A1:$H321,7,FALSE)</f>
        <v/>
      </c>
      <c r="R20" s="198" t="str">
        <f>VLOOKUP($B20,'Standards Crosswalk'!$A1:$H321,8,FALSE)</f>
        <v/>
      </c>
      <c r="S20" s="198" t="str">
        <f>VLOOKUP($B20,'Standards Crosswalk'!$A1:$I321,9,FALSE)</f>
        <v/>
      </c>
      <c r="T20" s="198" t="str">
        <f>IF(I8="Yes","PCI DSS","")</f>
        <v/>
      </c>
      <c r="U20" s="198" t="str">
        <f>IF(I8="Yes",(COUNTIFS(B1:B268,"PCID*",J1:J268,"=1")),"")</f>
        <v/>
      </c>
      <c r="V20" s="198" t="str">
        <f>IF(I8="Yes",(COUNTIF(B1:B268,"PCID*")),"")</f>
        <v/>
      </c>
      <c r="W20" s="198" t="str">
        <f>IF(I8="Yes",(SUMIFS(L1:L268,B1:B268,"PCID*")),"")</f>
        <v/>
      </c>
      <c r="X20" s="198" t="str">
        <f>IF(I8="Yes",(SUMIFS(K1:K268,B1:B268,"PCID*")),"")</f>
        <v/>
      </c>
      <c r="Y20" s="198" t="str">
        <f t="shared" si="12"/>
        <v/>
      </c>
      <c r="Z20" s="6"/>
    </row>
    <row r="21" ht="29.25" customHeight="1">
      <c r="A21" s="334">
        <f t="shared" si="7"/>
        <v>19</v>
      </c>
      <c r="B21" s="335" t="s">
        <v>157</v>
      </c>
      <c r="C21" s="336" t="str">
        <f>VLOOKUP(B21,'HECVAT - Full'!A1:E312,2,FALSE)</f>
        <v>Will the consultant require access to Institution's network resources?</v>
      </c>
      <c r="D21" s="358" t="str">
        <f>VLOOKUP(B21,'HECVAT - Full'!A1:E312,4,FALSE)</f>
        <v/>
      </c>
      <c r="E21" s="337" t="b">
        <f t="shared" si="8"/>
        <v>0</v>
      </c>
      <c r="F21" s="357" t="s">
        <v>3132</v>
      </c>
      <c r="G21" s="335" t="s">
        <v>85</v>
      </c>
      <c r="H21" s="338">
        <v>1.0</v>
      </c>
      <c r="I21" s="336" t="str">
        <f>VLOOKUP(B21,'HECVAT - Full'!A1:E312,3,FALSE)</f>
        <v>No</v>
      </c>
      <c r="J21" s="181">
        <f t="shared" si="13"/>
        <v>1</v>
      </c>
      <c r="K21" s="181">
        <f t="shared" si="14"/>
        <v>20</v>
      </c>
      <c r="L21" s="181">
        <f t="shared" si="6"/>
        <v>20</v>
      </c>
      <c r="M21" s="198" t="str">
        <f>VLOOKUP($B21,'Standards Crosswalk'!$A1:$H321,3,FALSE)</f>
        <v>CSC 14</v>
      </c>
      <c r="N21" s="198" t="str">
        <f>VLOOKUP($B21,'Standards Crosswalk'!$A1:$H321,4,FALSE)</f>
        <v/>
      </c>
      <c r="O21" s="198" t="str">
        <f>VLOOKUP($B21,'Standards Crosswalk'!$A1:$H321,5,FALSE)</f>
        <v>9.1.2</v>
      </c>
      <c r="P21" s="198" t="str">
        <f>VLOOKUP($B21,'Standards Crosswalk'!$A1:$H321,6,FALSE)</f>
        <v>ID.AM-6, PR.AT-3</v>
      </c>
      <c r="Q21" s="198" t="str">
        <f>VLOOKUP($B21,'Standards Crosswalk'!$A1:$H321,7,FALSE)</f>
        <v>3.1.2, 3.1.3</v>
      </c>
      <c r="R21" s="198" t="str">
        <f>VLOOKUP($B21,'Standards Crosswalk'!$A1:$H321,8,FALSE)</f>
        <v>AC-4</v>
      </c>
      <c r="S21" s="198" t="str">
        <f>VLOOKUP($B21,'Standards Crosswalk'!$A1:$I321,9,FALSE)</f>
        <v/>
      </c>
      <c r="T21" s="198" t="str">
        <f>IF(I9="Yes","Consulting Only","")</f>
        <v/>
      </c>
      <c r="U21" s="198" t="str">
        <f>IF(I9="Yes",(COUNTIFS(B1:B268,"CONS*",J1:J268,"=1")),"")</f>
        <v/>
      </c>
      <c r="V21" s="198" t="str">
        <f>IF(I9="Yes",(COUNTIF(B1:B268,"CONS*")),"")</f>
        <v/>
      </c>
      <c r="W21" s="198" t="str">
        <f>IF(I9="Yes",(SUMIFS(L1:L268,B1:B268,"CONS*")),"")</f>
        <v/>
      </c>
      <c r="X21" s="198" t="str">
        <f>IF(I9="Yes",(SUMIFS(K1:K268,B1:B268,"CONS*")),"")</f>
        <v/>
      </c>
      <c r="Y21" s="198" t="str">
        <f t="shared" si="12"/>
        <v/>
      </c>
      <c r="Z21" s="6"/>
    </row>
    <row r="22" ht="43.5" customHeight="1">
      <c r="A22" s="334">
        <f t="shared" si="7"/>
        <v>20</v>
      </c>
      <c r="B22" s="335" t="s">
        <v>159</v>
      </c>
      <c r="C22" s="336" t="str">
        <f>VLOOKUP(B22,'HECVAT - Full'!A1:E312,2,FALSE)</f>
        <v>Will the consultant require access to hardware in the Institution's data centers?</v>
      </c>
      <c r="D22" s="358" t="str">
        <f>VLOOKUP(B22,'HECVAT - Full'!A1:E312,4,FALSE)</f>
        <v/>
      </c>
      <c r="E22" s="337" t="b">
        <f t="shared" si="8"/>
        <v>1</v>
      </c>
      <c r="F22" s="357" t="s">
        <v>3132</v>
      </c>
      <c r="G22" s="335" t="s">
        <v>85</v>
      </c>
      <c r="H22" s="338">
        <v>1.0</v>
      </c>
      <c r="I22" s="336" t="str">
        <f>VLOOKUP(B22,'HECVAT - Full'!A1:E312,3,FALSE)</f>
        <v>No</v>
      </c>
      <c r="J22" s="181">
        <f t="shared" si="13"/>
        <v>1</v>
      </c>
      <c r="K22" s="181">
        <f>IF(H22=1,25,"")</f>
        <v>25</v>
      </c>
      <c r="L22" s="181">
        <f t="shared" si="6"/>
        <v>25</v>
      </c>
      <c r="M22" s="198" t="str">
        <f>VLOOKUP($B22,'Standards Crosswalk'!$A1:$H321,3,FALSE)</f>
        <v>CSC 14</v>
      </c>
      <c r="N22" s="198" t="str">
        <f>VLOOKUP($B22,'Standards Crosswalk'!$A1:$H321,4,FALSE)</f>
        <v/>
      </c>
      <c r="O22" s="198" t="str">
        <f>VLOOKUP($B22,'Standards Crosswalk'!$A1:$H321,5,FALSE)</f>
        <v>9.2.6</v>
      </c>
      <c r="P22" s="198" t="str">
        <f>VLOOKUP($B22,'Standards Crosswalk'!$A1:$H321,6,FALSE)</f>
        <v>ID.AM-6, PR.AT-3</v>
      </c>
      <c r="Q22" s="198" t="str">
        <f>VLOOKUP($B22,'Standards Crosswalk'!$A1:$H321,7,FALSE)</f>
        <v>3.1.2</v>
      </c>
      <c r="R22" s="198" t="str">
        <f>VLOOKUP($B22,'Standards Crosswalk'!$A1:$H321,8,FALSE)</f>
        <v/>
      </c>
      <c r="S22" s="198" t="str">
        <f>VLOOKUP($B22,'Standards Crosswalk'!$A1:$I321,9,FALSE)</f>
        <v/>
      </c>
      <c r="T22" s="181"/>
      <c r="U22" s="181"/>
      <c r="V22" s="181"/>
      <c r="W22" s="198" t="s">
        <v>3133</v>
      </c>
      <c r="X22" s="181"/>
      <c r="Y22" s="198" t="s">
        <v>3134</v>
      </c>
      <c r="Z22" s="6"/>
    </row>
    <row r="23" ht="43.5" customHeight="1">
      <c r="A23" s="334">
        <f t="shared" si="7"/>
        <v>21</v>
      </c>
      <c r="B23" s="335" t="s">
        <v>161</v>
      </c>
      <c r="C23" s="336" t="str">
        <f>VLOOKUP(B23,'HECVAT - Full'!A1:E312,2,FALSE)</f>
        <v>Will the consultant require an account within the Institution's domain (@*.edu)?</v>
      </c>
      <c r="D23" s="358" t="str">
        <f>VLOOKUP(B23,'HECVAT - Full'!A1:E312,4,FALSE)</f>
        <v/>
      </c>
      <c r="E23" s="337" t="b">
        <f t="shared" si="8"/>
        <v>0</v>
      </c>
      <c r="F23" s="357" t="s">
        <v>3132</v>
      </c>
      <c r="G23" s="335" t="s">
        <v>85</v>
      </c>
      <c r="H23" s="338">
        <v>1.0</v>
      </c>
      <c r="I23" s="336" t="str">
        <f>VLOOKUP(B23,'HECVAT - Full'!A1:E312,3,FALSE)</f>
        <v>No</v>
      </c>
      <c r="J23" s="181">
        <f t="shared" si="13"/>
        <v>1</v>
      </c>
      <c r="K23" s="181">
        <f t="shared" ref="K23:K24" si="16">IF(H23=1,20,"")</f>
        <v>20</v>
      </c>
      <c r="L23" s="181">
        <f t="shared" si="6"/>
        <v>20</v>
      </c>
      <c r="M23" s="198" t="str">
        <f>VLOOKUP($B23,'Standards Crosswalk'!$A1:$H321,3,FALSE)</f>
        <v>CSC 14</v>
      </c>
      <c r="N23" s="198" t="str">
        <f>VLOOKUP($B23,'Standards Crosswalk'!$A1:$H321,4,FALSE)</f>
        <v/>
      </c>
      <c r="O23" s="198" t="str">
        <f>VLOOKUP($B23,'Standards Crosswalk'!$A1:$H321,5,FALSE)</f>
        <v/>
      </c>
      <c r="P23" s="198" t="str">
        <f>VLOOKUP($B23,'Standards Crosswalk'!$A1:$H321,6,FALSE)</f>
        <v>ID.AM-6, PR.AT-3</v>
      </c>
      <c r="Q23" s="343" t="str">
        <f>VLOOKUP($B23,'Standards Crosswalk'!$A1:$H321,7,FALSE)</f>
        <v/>
      </c>
      <c r="R23" s="198" t="str">
        <f>VLOOKUP($B23,'Standards Crosswalk'!$A1:$H321,8,FALSE)</f>
        <v/>
      </c>
      <c r="S23" s="198" t="str">
        <f>VLOOKUP($B23,'Standards Crosswalk'!$A1:$I321,9,FALSE)</f>
        <v/>
      </c>
      <c r="T23" s="345"/>
      <c r="U23" s="345">
        <f t="shared" ref="U23:V23" si="15">SUM(U7:U21)</f>
        <v>89</v>
      </c>
      <c r="V23" s="345">
        <f t="shared" si="15"/>
        <v>126</v>
      </c>
      <c r="W23" s="346">
        <f>AVERAGE(Y2:Y21)</f>
        <v>0.6454968479</v>
      </c>
      <c r="X23" s="286" t="str">
        <f>IF(W23&gt;=0.9,"A",IF(W23&gt;=0.8,"B",IF(W23&gt;=0.7,"C",IF(W23&gt;=0.6,"D","F"))))</f>
        <v>D</v>
      </c>
      <c r="Y23" s="345">
        <f>SUM(W2:W21)</f>
        <v>2670</v>
      </c>
      <c r="Z23" s="6"/>
    </row>
    <row r="24" ht="43.5" customHeight="1">
      <c r="A24" s="334">
        <f t="shared" si="7"/>
        <v>22</v>
      </c>
      <c r="B24" s="335" t="s">
        <v>163</v>
      </c>
      <c r="C24" s="336" t="str">
        <f>VLOOKUP(B24,'HECVAT - Full'!A1:E312,2,FALSE)</f>
        <v>Has the consultant received training on [sensitive, HIPAA, PCI, etc.] data handling?</v>
      </c>
      <c r="D24" s="339" t="str">
        <f>VLOOKUP(B24,'HECVAT - Full'!A1:E312,4,FALSE)</f>
        <v>We do not handle sensitive material when we do consulting work. It is a requirement of any consulting contract.</v>
      </c>
      <c r="E24" s="337" t="b">
        <f t="shared" si="8"/>
        <v>0</v>
      </c>
      <c r="F24" s="357" t="s">
        <v>3132</v>
      </c>
      <c r="G24" s="335" t="s">
        <v>90</v>
      </c>
      <c r="H24" s="338">
        <v>1.0</v>
      </c>
      <c r="I24" s="336" t="str">
        <f>VLOOKUP(B24,'HECVAT - Full'!A1:E312,3,FALSE)</f>
        <v>No</v>
      </c>
      <c r="J24" s="181">
        <f t="shared" si="13"/>
        <v>0</v>
      </c>
      <c r="K24" s="181">
        <f t="shared" si="16"/>
        <v>20</v>
      </c>
      <c r="L24" s="181">
        <f t="shared" si="6"/>
        <v>0</v>
      </c>
      <c r="M24" s="198" t="str">
        <f>VLOOKUP($B24,'Standards Crosswalk'!$A1:$H321,3,FALSE)</f>
        <v>CSC 13</v>
      </c>
      <c r="N24" s="198" t="str">
        <f>VLOOKUP($B24,'Standards Crosswalk'!$A1:$H321,4,FALSE)</f>
        <v/>
      </c>
      <c r="O24" s="198" t="str">
        <f>VLOOKUP($B24,'Standards Crosswalk'!$A1:$H321,5,FALSE)</f>
        <v>18.1.1</v>
      </c>
      <c r="P24" s="198" t="str">
        <f>VLOOKUP($B24,'Standards Crosswalk'!$A1:$H321,6,FALSE)</f>
        <v>ID.AM-6, PR.AT-3</v>
      </c>
      <c r="Q24" s="343" t="str">
        <f>VLOOKUP($B24,'Standards Crosswalk'!$A1:$H321,7,FALSE)</f>
        <v/>
      </c>
      <c r="R24" s="198" t="str">
        <f>VLOOKUP($B24,'Standards Crosswalk'!$A1:$H321,8,FALSE)</f>
        <v/>
      </c>
      <c r="S24" s="198" t="str">
        <f>VLOOKUP($B24,'Standards Crosswalk'!$A1:$I321,9,FALSE)</f>
        <v/>
      </c>
      <c r="T24" s="181"/>
      <c r="U24" s="181"/>
      <c r="V24" s="181"/>
      <c r="W24" s="181"/>
      <c r="X24" s="181"/>
      <c r="Y24" s="181"/>
      <c r="Z24" s="6"/>
    </row>
    <row r="25" ht="29.25" customHeight="1">
      <c r="A25" s="334">
        <f t="shared" si="7"/>
        <v>23</v>
      </c>
      <c r="B25" s="335" t="s">
        <v>166</v>
      </c>
      <c r="C25" s="336" t="str">
        <f>VLOOKUP(B25,'HECVAT - Full'!A1:E312,2,FALSE)</f>
        <v>Will any data be transferred to the consultant's possession?</v>
      </c>
      <c r="D25" s="358" t="str">
        <f>VLOOKUP(B25,'HECVAT - Full'!A1:E312,4,FALSE)</f>
        <v/>
      </c>
      <c r="E25" s="337" t="b">
        <f t="shared" si="8"/>
        <v>1</v>
      </c>
      <c r="F25" s="357" t="s">
        <v>3132</v>
      </c>
      <c r="G25" s="335" t="s">
        <v>85</v>
      </c>
      <c r="H25" s="338">
        <v>1.0</v>
      </c>
      <c r="I25" s="336" t="str">
        <f>VLOOKUP(B25,'HECVAT - Full'!A1:E312,3,FALSE)</f>
        <v>No</v>
      </c>
      <c r="J25" s="181">
        <f t="shared" si="13"/>
        <v>1</v>
      </c>
      <c r="K25" s="181">
        <f t="shared" ref="K25:K27" si="17">IF(H25=1,25,"")</f>
        <v>25</v>
      </c>
      <c r="L25" s="181">
        <f t="shared" si="6"/>
        <v>25</v>
      </c>
      <c r="M25" s="198" t="str">
        <f>VLOOKUP($B25,'Standards Crosswalk'!$A1:$H321,3,FALSE)</f>
        <v>CSC 13</v>
      </c>
      <c r="N25" s="198" t="str">
        <f>VLOOKUP($B25,'Standards Crosswalk'!$A1:$H321,4,FALSE)</f>
        <v/>
      </c>
      <c r="O25" s="198" t="str">
        <f>VLOOKUP($B25,'Standards Crosswalk'!$A1:$H321,5,FALSE)</f>
        <v>9</v>
      </c>
      <c r="P25" s="198" t="str">
        <f>VLOOKUP($B25,'Standards Crosswalk'!$A1:$H321,6,FALSE)</f>
        <v>ID.AM-6, PR.AT-3</v>
      </c>
      <c r="Q25" s="198" t="str">
        <f>VLOOKUP($B25,'Standards Crosswalk'!$A1:$H321,7,FALSE)</f>
        <v>3.8.2</v>
      </c>
      <c r="R25" s="198" t="str">
        <f>VLOOKUP($B25,'Standards Crosswalk'!$A1:$H321,8,FALSE)</f>
        <v>MP-2</v>
      </c>
      <c r="S25" s="198" t="str">
        <f>VLOOKUP($B25,'Standards Crosswalk'!$A1:$I321,9,FALSE)</f>
        <v/>
      </c>
      <c r="T25" s="181"/>
      <c r="U25" s="181"/>
      <c r="V25" s="181"/>
      <c r="W25" s="181"/>
      <c r="X25" s="181"/>
      <c r="Y25" s="181"/>
      <c r="Z25" s="6"/>
    </row>
    <row r="26" ht="29.25" customHeight="1">
      <c r="A26" s="334">
        <f t="shared" si="7"/>
        <v>24</v>
      </c>
      <c r="B26" s="335" t="s">
        <v>168</v>
      </c>
      <c r="C26" s="336" t="str">
        <f>VLOOKUP(B26,'HECVAT - Full'!A1:E312,2,FALSE)</f>
        <v>Is it encrypted (at rest) while in the consultant's possession?</v>
      </c>
      <c r="D26" s="339" t="str">
        <f>VLOOKUP(B26,'HECVAT - Full'!A1:E312,4,FALSE)</f>
        <v>Our HDDs are encrypted with strong passwords.</v>
      </c>
      <c r="E26" s="337" t="b">
        <f t="shared" si="8"/>
        <v>1</v>
      </c>
      <c r="F26" s="357" t="s">
        <v>3132</v>
      </c>
      <c r="G26" s="335" t="s">
        <v>90</v>
      </c>
      <c r="H26" s="338">
        <f>IF(I25="Yes",1,0)</f>
        <v>0</v>
      </c>
      <c r="I26" s="336" t="str">
        <f>VLOOKUP(B26,'HECVAT - Full'!A1:E312,3,FALSE)</f>
        <v>Yes</v>
      </c>
      <c r="J26" s="181">
        <f t="shared" si="13"/>
        <v>1</v>
      </c>
      <c r="K26" s="198" t="str">
        <f t="shared" si="17"/>
        <v/>
      </c>
      <c r="L26" s="198" t="str">
        <f t="shared" si="6"/>
        <v/>
      </c>
      <c r="M26" s="198" t="str">
        <f>VLOOKUP($B26,'Standards Crosswalk'!$A1:$H321,3,FALSE)</f>
        <v>CSC 13</v>
      </c>
      <c r="N26" s="198" t="str">
        <f>VLOOKUP($B26,'Standards Crosswalk'!$A1:$H321,4,FALSE)</f>
        <v/>
      </c>
      <c r="O26" s="198" t="str">
        <f>VLOOKUP($B26,'Standards Crosswalk'!$A1:$H321,5,FALSE)</f>
        <v>10</v>
      </c>
      <c r="P26" s="198" t="str">
        <f>VLOOKUP($B26,'Standards Crosswalk'!$A1:$H321,6,FALSE)</f>
        <v>ID.AM-6, PR.AT-3</v>
      </c>
      <c r="Q26" s="198" t="str">
        <f>VLOOKUP($B26,'Standards Crosswalk'!$A1:$H321,7,FALSE)</f>
        <v>3.1.2, 3.1.19, 3.8.2</v>
      </c>
      <c r="R26" s="198" t="str">
        <f>VLOOKUP($B26,'Standards Crosswalk'!$A1:$H321,8,FALSE)</f>
        <v>MP-2</v>
      </c>
      <c r="S26" s="198" t="str">
        <f>VLOOKUP($B26,'Standards Crosswalk'!$A1:$I321,9,FALSE)</f>
        <v/>
      </c>
      <c r="T26" s="181"/>
      <c r="U26" s="181"/>
      <c r="V26" s="181"/>
      <c r="W26" s="181"/>
      <c r="X26" s="181"/>
      <c r="Y26" s="181"/>
      <c r="Z26" s="6"/>
    </row>
    <row r="27" ht="43.5" customHeight="1">
      <c r="A27" s="334">
        <f t="shared" si="7"/>
        <v>25</v>
      </c>
      <c r="B27" s="335" t="s">
        <v>171</v>
      </c>
      <c r="C27" s="336" t="str">
        <f>VLOOKUP(B27,'HECVAT - Full'!A1:E312,2,FALSE)</f>
        <v>Will the consultant need remote access to the Institution's network or systems?</v>
      </c>
      <c r="D27" s="358" t="str">
        <f>VLOOKUP(B27,'HECVAT - Full'!A1:E312,4,FALSE)</f>
        <v/>
      </c>
      <c r="E27" s="337" t="b">
        <f t="shared" si="8"/>
        <v>1</v>
      </c>
      <c r="F27" s="357" t="s">
        <v>3132</v>
      </c>
      <c r="G27" s="335" t="s">
        <v>85</v>
      </c>
      <c r="H27" s="338">
        <v>1.0</v>
      </c>
      <c r="I27" s="336" t="str">
        <f>VLOOKUP(B27,'HECVAT - Full'!A1:E312,3,FALSE)</f>
        <v>No</v>
      </c>
      <c r="J27" s="181">
        <f t="shared" si="13"/>
        <v>1</v>
      </c>
      <c r="K27" s="181">
        <f t="shared" si="17"/>
        <v>25</v>
      </c>
      <c r="L27" s="181">
        <f t="shared" si="6"/>
        <v>25</v>
      </c>
      <c r="M27" s="198" t="str">
        <f>VLOOKUP($B27,'Standards Crosswalk'!$A1:$H321,3,FALSE)</f>
        <v>CSC 14</v>
      </c>
      <c r="N27" s="198" t="str">
        <f>VLOOKUP($B27,'Standards Crosswalk'!$A1:$H321,4,FALSE)</f>
        <v/>
      </c>
      <c r="O27" s="198" t="str">
        <f>VLOOKUP($B27,'Standards Crosswalk'!$A1:$H321,5,FALSE)</f>
        <v>9</v>
      </c>
      <c r="P27" s="198" t="str">
        <f>VLOOKUP($B27,'Standards Crosswalk'!$A1:$H321,6,FALSE)</f>
        <v>ID.AM-6, PR.AT-3</v>
      </c>
      <c r="Q27" s="343" t="str">
        <f>VLOOKUP($B27,'Standards Crosswalk'!$A1:$H321,7,FALSE)</f>
        <v/>
      </c>
      <c r="R27" s="198" t="str">
        <f>VLOOKUP($B27,'Standards Crosswalk'!$A1:$H321,8,FALSE)</f>
        <v/>
      </c>
      <c r="S27" s="198" t="str">
        <f>VLOOKUP($B27,'Standards Crosswalk'!$A1:$I321,9,FALSE)</f>
        <v/>
      </c>
      <c r="T27" s="181"/>
      <c r="U27" s="181"/>
      <c r="V27" s="181"/>
      <c r="W27" s="181"/>
      <c r="X27" s="181"/>
      <c r="Y27" s="181"/>
      <c r="Z27" s="6"/>
    </row>
    <row r="28" ht="29.25" customHeight="1">
      <c r="A28" s="334">
        <f t="shared" si="7"/>
        <v>26</v>
      </c>
      <c r="B28" s="335" t="s">
        <v>173</v>
      </c>
      <c r="C28" s="336" t="str">
        <f>VLOOKUP(B28,'HECVAT - Full'!A1:E312,2,FALSE)</f>
        <v>Can we restrict that access based on source IP address?</v>
      </c>
      <c r="D28" s="358" t="str">
        <f>VLOOKUP(B28,'HECVAT - Full'!A1:E312,4,FALSE)</f>
        <v/>
      </c>
      <c r="E28" s="337" t="b">
        <f t="shared" si="8"/>
        <v>1</v>
      </c>
      <c r="F28" s="357" t="s">
        <v>3132</v>
      </c>
      <c r="G28" s="335" t="s">
        <v>90</v>
      </c>
      <c r="H28" s="338">
        <f>IF(I27="Yes",1,0)</f>
        <v>0</v>
      </c>
      <c r="I28" s="336" t="str">
        <f>VLOOKUP(B28,'HECVAT - Full'!A1:E312,3,FALSE)</f>
        <v>Yes</v>
      </c>
      <c r="J28" s="181">
        <f>IF(OR(G28=I28,I28="N/A"),1,0)</f>
        <v>1</v>
      </c>
      <c r="K28" s="198" t="str">
        <f>IF(H28=1,20,"")</f>
        <v/>
      </c>
      <c r="L28" s="198" t="str">
        <f t="shared" si="6"/>
        <v/>
      </c>
      <c r="M28" s="198" t="str">
        <f>VLOOKUP($B28,'Standards Crosswalk'!$A1:$H321,3,FALSE)</f>
        <v/>
      </c>
      <c r="N28" s="198" t="str">
        <f>VLOOKUP($B28,'Standards Crosswalk'!$A1:$H321,4,FALSE)</f>
        <v/>
      </c>
      <c r="O28" s="198" t="str">
        <f>VLOOKUP($B28,'Standards Crosswalk'!$A1:$H321,5,FALSE)</f>
        <v>9</v>
      </c>
      <c r="P28" s="198" t="str">
        <f>VLOOKUP($B28,'Standards Crosswalk'!$A1:$H321,6,FALSE)</f>
        <v>ID.AM-6, PR.AT-3</v>
      </c>
      <c r="Q28" s="343" t="str">
        <f>VLOOKUP($B28,'Standards Crosswalk'!$A1:$H321,7,FALSE)</f>
        <v/>
      </c>
      <c r="R28" s="198" t="str">
        <f>VLOOKUP($B28,'Standards Crosswalk'!$A1:$H321,8,FALSE)</f>
        <v/>
      </c>
      <c r="S28" s="198" t="str">
        <f>VLOOKUP($B28,'Standards Crosswalk'!$A1:$I321,9,FALSE)</f>
        <v/>
      </c>
      <c r="T28" s="181"/>
      <c r="U28" s="181"/>
      <c r="V28" s="181"/>
      <c r="W28" s="181"/>
      <c r="X28" s="181"/>
      <c r="Y28" s="181"/>
      <c r="Z28" s="6"/>
    </row>
    <row r="29" ht="43.5" customHeight="1">
      <c r="A29" s="334">
        <f t="shared" si="7"/>
        <v>27</v>
      </c>
      <c r="B29" s="335" t="s">
        <v>175</v>
      </c>
      <c r="C29" s="336" t="str">
        <f>VLOOKUP(B29,'HECVAT - Full'!A1:E312,2,FALSE)</f>
        <v>Do you support role-based access control (RBAC) for end-users?</v>
      </c>
      <c r="D29" s="339" t="str">
        <f>VLOOKUP(B29,'HECVAT - Full'!A1:E312,4,FALSE)</f>
        <v>We support two roles for our end users in our customer portal. Admin and read-only user. To date we have not found a need to have more roles, but we are happy to add more if there is a need.</v>
      </c>
      <c r="E29" s="337" t="b">
        <f t="shared" si="8"/>
        <v>1</v>
      </c>
      <c r="F29" s="335" t="s">
        <v>3135</v>
      </c>
      <c r="G29" s="335" t="s">
        <v>90</v>
      </c>
      <c r="H29" s="338">
        <v>1.0</v>
      </c>
      <c r="I29" s="336" t="str">
        <f>VLOOKUP(B29,'HECVAT - Full'!A1:E312,3,FALSE)</f>
        <v>Yes</v>
      </c>
      <c r="J29" s="181">
        <f t="shared" ref="J29:J34" si="18">IF(G29=I29,1,0)</f>
        <v>1</v>
      </c>
      <c r="K29" s="181">
        <f t="shared" ref="K29:K30" si="19">IF(H29=1,25,"")</f>
        <v>25</v>
      </c>
      <c r="L29" s="181">
        <f t="shared" si="6"/>
        <v>25</v>
      </c>
      <c r="M29" s="198" t="str">
        <f>VLOOKUP($B29,'Standards Crosswalk'!$A1:$H321,3,FALSE)</f>
        <v>CSC 18</v>
      </c>
      <c r="N29" s="198" t="str">
        <f>VLOOKUP($B29,'Standards Crosswalk'!$A1:$H321,4,FALSE)</f>
        <v/>
      </c>
      <c r="O29" s="198" t="str">
        <f>VLOOKUP($B29,'Standards Crosswalk'!$A1:$H321,5,FALSE)</f>
        <v/>
      </c>
      <c r="P29" s="198" t="str">
        <f>VLOOKUP($B29,'Standards Crosswalk'!$A1:$H321,6,FALSE)</f>
        <v>ID.AM-5</v>
      </c>
      <c r="Q29" s="343" t="str">
        <f>VLOOKUP($B29,'Standards Crosswalk'!$A1:$H321,7,FALSE)</f>
        <v/>
      </c>
      <c r="R29" s="198" t="str">
        <f>VLOOKUP($B29,'Standards Crosswalk'!$A1:$H321,8,FALSE)</f>
        <v/>
      </c>
      <c r="S29" s="198" t="str">
        <f>VLOOKUP($B29,'Standards Crosswalk'!$A1:$I321,9,FALSE)</f>
        <v/>
      </c>
      <c r="T29" s="181"/>
      <c r="U29" s="181"/>
      <c r="V29" s="181"/>
      <c r="W29" s="181"/>
      <c r="X29" s="181"/>
      <c r="Y29" s="181"/>
      <c r="Z29" s="6"/>
    </row>
    <row r="30" ht="43.5" customHeight="1">
      <c r="A30" s="334">
        <f t="shared" si="7"/>
        <v>28</v>
      </c>
      <c r="B30" s="335" t="s">
        <v>178</v>
      </c>
      <c r="C30" s="336" t="str">
        <f>VLOOKUP(B30,'HECVAT - Full'!A1:E312,2,FALSE)</f>
        <v>Do you support role-based access control (RBAC) for system administrators?</v>
      </c>
      <c r="D30" s="339" t="str">
        <f>VLOOKUP(B30,'HECVAT - Full'!A1:E312,4,FALSE)</f>
        <v>We currently have several roles for LTIAAS system administrators. some of the roles are for users that need to access our GIT repos and create docker containers. We also have roles that give users acess to our monitoring services, service operations, and seperate roles for application deployment and backups. Google Cloud allows us to create roles on a fine-grain as needed.</v>
      </c>
      <c r="E30" s="337" t="b">
        <f t="shared" si="8"/>
        <v>1</v>
      </c>
      <c r="F30" s="335" t="s">
        <v>3135</v>
      </c>
      <c r="G30" s="335" t="s">
        <v>90</v>
      </c>
      <c r="H30" s="338">
        <v>1.0</v>
      </c>
      <c r="I30" s="336" t="str">
        <f>VLOOKUP(B30,'HECVAT - Full'!A1:E312,3,FALSE)</f>
        <v>Yes</v>
      </c>
      <c r="J30" s="181">
        <f t="shared" si="18"/>
        <v>1</v>
      </c>
      <c r="K30" s="181">
        <f t="shared" si="19"/>
        <v>25</v>
      </c>
      <c r="L30" s="181">
        <f t="shared" si="6"/>
        <v>25</v>
      </c>
      <c r="M30" s="198" t="str">
        <f>VLOOKUP($B30,'Standards Crosswalk'!$A1:$H321,3,FALSE)</f>
        <v>CSC 2, CSC 3</v>
      </c>
      <c r="N30" s="198" t="str">
        <f>VLOOKUP($B30,'Standards Crosswalk'!$A1:$H321,4,FALSE)</f>
        <v/>
      </c>
      <c r="O30" s="198" t="str">
        <f>VLOOKUP($B30,'Standards Crosswalk'!$A1:$H321,5,FALSE)</f>
        <v>11.2.6</v>
      </c>
      <c r="P30" s="198" t="str">
        <f>VLOOKUP($B30,'Standards Crosswalk'!$A1:$H321,6,FALSE)</f>
        <v>ID.AM-5</v>
      </c>
      <c r="Q30" s="343" t="str">
        <f>VLOOKUP($B30,'Standards Crosswalk'!$A1:$H321,7,FALSE)</f>
        <v/>
      </c>
      <c r="R30" s="198" t="str">
        <f>VLOOKUP($B30,'Standards Crosswalk'!$A1:$H321,8,FALSE)</f>
        <v/>
      </c>
      <c r="S30" s="198" t="str">
        <f>VLOOKUP($B30,'Standards Crosswalk'!$A1:$I321,9,FALSE)</f>
        <v/>
      </c>
      <c r="T30" s="181"/>
      <c r="U30" s="181"/>
      <c r="V30" s="181"/>
      <c r="W30" s="181"/>
      <c r="X30" s="181"/>
      <c r="Y30" s="181"/>
      <c r="Z30" s="6"/>
    </row>
    <row r="31" ht="43.5" customHeight="1">
      <c r="A31" s="334">
        <f t="shared" si="7"/>
        <v>29</v>
      </c>
      <c r="B31" s="335" t="s">
        <v>181</v>
      </c>
      <c r="C31" s="336" t="str">
        <f>VLOOKUP(B31,'HECVAT - Full'!A1:E312,2,FALSE)</f>
        <v>Can employees access customer data remotely?</v>
      </c>
      <c r="D31" s="339" t="str">
        <f>VLOOKUP(B31,'HECVAT - Full'!A1:E312,4,FALSE)</f>
        <v>We are a work-from-home company, so be definition, all data accessed is remote. While we can access LTI-related data of our customers, we have no way of accessing institution data.</v>
      </c>
      <c r="E31" s="337" t="b">
        <f t="shared" si="8"/>
        <v>0</v>
      </c>
      <c r="F31" s="335" t="s">
        <v>3135</v>
      </c>
      <c r="G31" s="335" t="s">
        <v>90</v>
      </c>
      <c r="H31" s="338">
        <v>1.0</v>
      </c>
      <c r="I31" s="336" t="str">
        <f>VLOOKUP(B31,'HECVAT - Full'!A1:E312,3,FALSE)</f>
        <v>Yes</v>
      </c>
      <c r="J31" s="181">
        <f t="shared" si="18"/>
        <v>1</v>
      </c>
      <c r="K31" s="181">
        <f t="shared" ref="K31:K33" si="20">IF(H31=1,20,"")</f>
        <v>20</v>
      </c>
      <c r="L31" s="181">
        <f t="shared" si="6"/>
        <v>20</v>
      </c>
      <c r="M31" s="198" t="str">
        <f>VLOOKUP($B31,'Standards Crosswalk'!$A1:$H321,3,FALSE)</f>
        <v>CSC 14</v>
      </c>
      <c r="N31" s="343" t="str">
        <f>VLOOKUP($B31,'Standards Crosswalk'!$A1:$H321,4,FALSE)</f>
        <v/>
      </c>
      <c r="O31" s="343">
        <f>VLOOKUP($B31,'Standards Crosswalk'!$A1:$H321,5,FALSE)</f>
        <v>6.2</v>
      </c>
      <c r="P31" s="198" t="str">
        <f>VLOOKUP($B31,'Standards Crosswalk'!$A1:$H321,6,FALSE)</f>
        <v>PR.AC-3, PR.MA-2</v>
      </c>
      <c r="Q31" s="198" t="str">
        <f>VLOOKUP($B31,'Standards Crosswalk'!$A1:$H321,7,FALSE)</f>
        <v>3.1.2</v>
      </c>
      <c r="R31" s="198" t="str">
        <f>VLOOKUP($B31,'Standards Crosswalk'!$A1:$H321,8,FALSE)</f>
        <v>AC-17; NIST SP 800-46</v>
      </c>
      <c r="S31" s="198" t="str">
        <f>VLOOKUP($B31,'Standards Crosswalk'!$A1:$I321,9,FALSE)</f>
        <v>7.x</v>
      </c>
      <c r="T31" s="181"/>
      <c r="U31" s="181"/>
      <c r="V31" s="181"/>
      <c r="W31" s="181"/>
      <c r="X31" s="181"/>
      <c r="Y31" s="181"/>
      <c r="Z31" s="6"/>
    </row>
    <row r="32" ht="86.25" customHeight="1">
      <c r="A32" s="334">
        <f t="shared" si="7"/>
        <v>30</v>
      </c>
      <c r="B32" s="335" t="s">
        <v>184</v>
      </c>
      <c r="C32" s="336" t="str">
        <f>VLOOKUP(B32,'HECVAT - Full'!A1:E312,2,FALSE)</f>
        <v>Can you provide overall system and/or application architecture diagrams including a full description of the data communications architecture for all components of the system?</v>
      </c>
      <c r="D32" s="363" t="str">
        <f>VLOOKUP(B32,'HECVAT - Full'!A1:E312,4,FALSE)</f>
        <v>https://ltiaas.com/compliance</v>
      </c>
      <c r="E32" s="337" t="b">
        <f t="shared" si="8"/>
        <v>0</v>
      </c>
      <c r="F32" s="335" t="s">
        <v>3135</v>
      </c>
      <c r="G32" s="335" t="s">
        <v>90</v>
      </c>
      <c r="H32" s="338">
        <v>1.0</v>
      </c>
      <c r="I32" s="336" t="str">
        <f>VLOOKUP(B32,'HECVAT - Full'!A1:E312,3,FALSE)</f>
        <v>Yes</v>
      </c>
      <c r="J32" s="181">
        <f t="shared" si="18"/>
        <v>1</v>
      </c>
      <c r="K32" s="181">
        <f t="shared" si="20"/>
        <v>20</v>
      </c>
      <c r="L32" s="181">
        <f t="shared" si="6"/>
        <v>20</v>
      </c>
      <c r="M32" s="198" t="str">
        <f>VLOOKUP($B32,'Standards Crosswalk'!$A1:$H321,3,FALSE)</f>
        <v>CSC16</v>
      </c>
      <c r="N32" s="198" t="str">
        <f>VLOOKUP($B32,'Standards Crosswalk'!$A1:$H321,4,FALSE)</f>
        <v/>
      </c>
      <c r="O32" s="198" t="str">
        <f>VLOOKUP($B32,'Standards Crosswalk'!$A1:$H321,5,FALSE)</f>
        <v>9.1.1</v>
      </c>
      <c r="P32" s="198" t="str">
        <f>VLOOKUP($B32,'Standards Crosswalk'!$A1:$H321,6,FALSE)</f>
        <v>PR.AC-4, PR.PT-3</v>
      </c>
      <c r="Q32" s="198" t="str">
        <f>VLOOKUP($B32,'Standards Crosswalk'!$A1:$H321,7,FALSE)</f>
        <v>3.4.9</v>
      </c>
      <c r="R32" s="198" t="str">
        <f>VLOOKUP($B32,'Standards Crosswalk'!$A1:$H321,8,FALSE)</f>
        <v>CM-11</v>
      </c>
      <c r="S32" s="198" t="str">
        <f>VLOOKUP($B32,'Standards Crosswalk'!$A1:$I321,9,FALSE)</f>
        <v>7.x</v>
      </c>
      <c r="T32" s="181"/>
      <c r="U32" s="181"/>
      <c r="V32" s="181"/>
      <c r="W32" s="181"/>
      <c r="X32" s="181"/>
      <c r="Y32" s="181"/>
      <c r="Z32" s="6"/>
    </row>
    <row r="33" ht="43.5" customHeight="1">
      <c r="A33" s="334">
        <f t="shared" si="7"/>
        <v>31</v>
      </c>
      <c r="B33" s="335" t="s">
        <v>187</v>
      </c>
      <c r="C33" s="336" t="str">
        <f>VLOOKUP(B33,'HECVAT - Full'!A1:E312,2,FALSE)</f>
        <v>Does the system provide data input validation and error messages? </v>
      </c>
      <c r="D33" s="363" t="str">
        <f>VLOOKUP(B33,'HECVAT - Full'!A1:E312,4,FALSE)</f>
        <v>https://ltiaas.com/docs</v>
      </c>
      <c r="E33" s="337" t="b">
        <f t="shared" si="8"/>
        <v>0</v>
      </c>
      <c r="F33" s="335" t="s">
        <v>3135</v>
      </c>
      <c r="G33" s="335" t="s">
        <v>90</v>
      </c>
      <c r="H33" s="338">
        <v>1.0</v>
      </c>
      <c r="I33" s="336" t="str">
        <f>VLOOKUP(B33,'HECVAT - Full'!A1:E312,3,FALSE)</f>
        <v>Yes</v>
      </c>
      <c r="J33" s="181">
        <f t="shared" si="18"/>
        <v>1</v>
      </c>
      <c r="K33" s="181">
        <f t="shared" si="20"/>
        <v>20</v>
      </c>
      <c r="L33" s="181">
        <f t="shared" si="6"/>
        <v>20</v>
      </c>
      <c r="M33" s="198" t="str">
        <f>VLOOKUP($B33,'Standards Crosswalk'!$A1:$H321,3,FALSE)</f>
        <v>CSC 18</v>
      </c>
      <c r="N33" s="198" t="str">
        <f>VLOOKUP($B33,'Standards Crosswalk'!$A1:$H321,4,FALSE)</f>
        <v/>
      </c>
      <c r="O33" s="198" t="str">
        <f>VLOOKUP($B33,'Standards Crosswalk'!$A1:$H321,5,FALSE)</f>
        <v/>
      </c>
      <c r="P33" s="198" t="str">
        <f>VLOOKUP($B33,'Standards Crosswalk'!$A1:$H321,6,FALSE)</f>
        <v>ID.AM-5</v>
      </c>
      <c r="Q33" s="198" t="str">
        <f>VLOOKUP($B33,'Standards Crosswalk'!$A1:$H321,7,FALSE)</f>
        <v/>
      </c>
      <c r="R33" s="198" t="str">
        <f>VLOOKUP($B33,'Standards Crosswalk'!$A1:$H321,8,FALSE)</f>
        <v/>
      </c>
      <c r="S33" s="198" t="str">
        <f>VLOOKUP($B33,'Standards Crosswalk'!$A1:$I321,9,FALSE)</f>
        <v/>
      </c>
      <c r="T33" s="181"/>
      <c r="U33" s="181"/>
      <c r="V33" s="181"/>
      <c r="W33" s="181"/>
      <c r="X33" s="181"/>
      <c r="Y33" s="181"/>
      <c r="Z33" s="6"/>
    </row>
    <row r="34" ht="100.5" customHeight="1">
      <c r="A34" s="334">
        <f t="shared" si="7"/>
        <v>32</v>
      </c>
      <c r="B34" s="335" t="s">
        <v>190</v>
      </c>
      <c r="C34" s="336" t="str">
        <f>VLOOKUP(B34,'HECVAT - Full'!A1:E312,2,FALSE)</f>
        <v>Do you employ a single-tenant environment? </v>
      </c>
      <c r="D34" s="358" t="str">
        <f>VLOOKUP(B34,'HECVAT - Full'!A1:E312,4,FALSE)</f>
        <v/>
      </c>
      <c r="E34" s="337" t="b">
        <f t="shared" si="8"/>
        <v>1</v>
      </c>
      <c r="F34" s="335" t="s">
        <v>3135</v>
      </c>
      <c r="G34" s="335" t="s">
        <v>90</v>
      </c>
      <c r="H34" s="338">
        <v>1.0</v>
      </c>
      <c r="I34" s="336" t="str">
        <f>VLOOKUP(B34,'HECVAT - Full'!A1:E312,3,FALSE)</f>
        <v>No</v>
      </c>
      <c r="J34" s="181">
        <f t="shared" si="18"/>
        <v>0</v>
      </c>
      <c r="K34" s="181">
        <f>IF(H34=1,25,"")</f>
        <v>25</v>
      </c>
      <c r="L34" s="181">
        <f t="shared" si="6"/>
        <v>0</v>
      </c>
      <c r="M34" s="198" t="str">
        <f>VLOOKUP($B34,'Standards Crosswalk'!$A1:$H321,3,FALSE)</f>
        <v>CSC 12</v>
      </c>
      <c r="N34" s="343" t="str">
        <f>VLOOKUP($B34,'Standards Crosswalk'!$A1:$H321,4,FALSE)</f>
        <v/>
      </c>
      <c r="O34" s="343">
        <f>VLOOKUP($B34,'Standards Crosswalk'!$A1:$H321,5,FALSE)</f>
        <v>6.2</v>
      </c>
      <c r="P34" s="198" t="str">
        <f>VLOOKUP($B34,'Standards Crosswalk'!$A1:$H321,6,FALSE)</f>
        <v>PR.PT-3</v>
      </c>
      <c r="Q34" s="198" t="str">
        <f>VLOOKUP($B34,'Standards Crosswalk'!$A1:$H321,7,FALSE)</f>
        <v>3.1.12, 3.1.13, 3.1.14, 3.1.14, 3.1.15, 3.1.8, 3.1.20, 3.7.5, 3.8.2, 3.13.7</v>
      </c>
      <c r="R34" s="198" t="str">
        <f>VLOOKUP($B34,'Standards Crosswalk'!$A1:$H321,8,FALSE)</f>
        <v>AC-3, CM-7; NIST SP 800-46</v>
      </c>
      <c r="S34" s="343" t="str">
        <f>VLOOKUP($B34,'Standards Crosswalk'!$A1:$I321,9,FALSE)</f>
        <v/>
      </c>
      <c r="T34" s="181"/>
      <c r="U34" s="181"/>
      <c r="V34" s="181"/>
      <c r="W34" s="181"/>
      <c r="X34" s="181"/>
      <c r="Y34" s="181"/>
      <c r="Z34" s="6"/>
    </row>
    <row r="35" ht="57.75" customHeight="1">
      <c r="A35" s="334">
        <f t="shared" si="7"/>
        <v>33</v>
      </c>
      <c r="B35" s="335" t="s">
        <v>192</v>
      </c>
      <c r="C35" s="336" t="str">
        <f>VLOOKUP(B35,'HECVAT - Full'!A1:E312,2,FALSE)</f>
        <v>What operating system(s) is/are leveraged by the system(s)/application(s) that will have access to institution's data?</v>
      </c>
      <c r="D35" s="334" t="str">
        <f>VLOOKUP(B35,'HECVAT - Full'!A1:E312,4,FALSE)</f>
        <v/>
      </c>
      <c r="E35" s="337" t="b">
        <f t="shared" si="8"/>
        <v>0</v>
      </c>
      <c r="F35" s="335" t="s">
        <v>3135</v>
      </c>
      <c r="G35" s="348"/>
      <c r="H35" s="338">
        <v>1.0</v>
      </c>
      <c r="I35" s="336" t="str">
        <f>VLOOKUP(B35,'HECVAT - Full'!A1:E312,3,FALSE)</f>
        <v>Google-Managed CloudRun Linux images</v>
      </c>
      <c r="J35" s="181">
        <f>IF(VLOOKUP(B35,'Analyst Report'!$A$41:$G$88,7,FALSE)="Yes",1,0)</f>
        <v>0</v>
      </c>
      <c r="K35" s="181">
        <f>IF(H35=1,20,"")</f>
        <v>20</v>
      </c>
      <c r="L35" s="181">
        <f t="shared" si="6"/>
        <v>0</v>
      </c>
      <c r="M35" s="198" t="str">
        <f>VLOOKUP($B35,'Standards Crosswalk'!$A1:$H321,3,FALSE)</f>
        <v>CSC 2</v>
      </c>
      <c r="N35" s="343" t="str">
        <f>VLOOKUP($B35,'Standards Crosswalk'!$A1:$H321,4,FALSE)</f>
        <v/>
      </c>
      <c r="O35" s="198" t="str">
        <f>VLOOKUP($B35,'Standards Crosswalk'!$A1:$H321,5,FALSE)</f>
        <v>12.5.1</v>
      </c>
      <c r="P35" s="198" t="str">
        <f>VLOOKUP($B35,'Standards Crosswalk'!$A1:$H321,6,FALSE)</f>
        <v>PR.PT-3</v>
      </c>
      <c r="Q35" s="343" t="str">
        <f>VLOOKUP($B35,'Standards Crosswalk'!$A1:$H321,7,FALSE)</f>
        <v/>
      </c>
      <c r="R35" s="198" t="str">
        <f>VLOOKUP($B35,'Standards Crosswalk'!$A1:$H321,8,FALSE)</f>
        <v>AC-17; NIST SP 800-46</v>
      </c>
      <c r="S35" s="343" t="str">
        <f>VLOOKUP($B35,'Standards Crosswalk'!$A1:$I321,9,FALSE)</f>
        <v/>
      </c>
      <c r="T35" s="181"/>
      <c r="U35" s="181"/>
      <c r="V35" s="181"/>
      <c r="W35" s="181"/>
      <c r="X35" s="181"/>
      <c r="Y35" s="181"/>
      <c r="Z35" s="6"/>
    </row>
    <row r="36" ht="57.75" customHeight="1">
      <c r="A36" s="334">
        <f t="shared" si="7"/>
        <v>34</v>
      </c>
      <c r="B36" s="335" t="s">
        <v>196</v>
      </c>
      <c r="C36" s="336" t="str">
        <f>VLOOKUP(B36,'HECVAT - Full'!A1:E312,2,FALSE)</f>
        <v>Have you or any third party you contract with that may have access or allow access to the institution's data experienced a breach?</v>
      </c>
      <c r="D36" s="358" t="str">
        <f>VLOOKUP(B36,'HECVAT - Full'!A1:E312,4,FALSE)</f>
        <v/>
      </c>
      <c r="E36" s="337" t="b">
        <f t="shared" si="8"/>
        <v>1</v>
      </c>
      <c r="F36" s="335" t="s">
        <v>3135</v>
      </c>
      <c r="G36" s="335" t="s">
        <v>85</v>
      </c>
      <c r="H36" s="338">
        <v>1.0</v>
      </c>
      <c r="I36" s="336" t="str">
        <f>VLOOKUP(B36,'HECVAT - Full'!A1:E312,3,FALSE)</f>
        <v>No</v>
      </c>
      <c r="J36" s="181">
        <f>IF(G36=I36,1,0)</f>
        <v>1</v>
      </c>
      <c r="K36" s="181">
        <f>IF(H36=1,25,"")</f>
        <v>25</v>
      </c>
      <c r="L36" s="181">
        <f t="shared" si="6"/>
        <v>25</v>
      </c>
      <c r="M36" s="343" t="str">
        <f>VLOOKUP($B36,'Standards Crosswalk'!$A1:$H321,3,FALSE)</f>
        <v/>
      </c>
      <c r="N36" s="343" t="str">
        <f>VLOOKUP($B36,'Standards Crosswalk'!$A1:$H321,4,FALSE)</f>
        <v/>
      </c>
      <c r="O36" s="343">
        <f>VLOOKUP($B36,'Standards Crosswalk'!$A1:$H321,5,FALSE)</f>
        <v>16</v>
      </c>
      <c r="P36" s="343" t="str">
        <f>VLOOKUP($B36,'Standards Crosswalk'!$A1:$H321,6,FALSE)</f>
        <v/>
      </c>
      <c r="Q36" s="343" t="str">
        <f>VLOOKUP($B36,'Standards Crosswalk'!$A1:$H321,7,FALSE)</f>
        <v/>
      </c>
      <c r="R36" s="343" t="str">
        <f>VLOOKUP($B36,'Standards Crosswalk'!$A1:$H321,8,FALSE)</f>
        <v/>
      </c>
      <c r="S36" s="198" t="str">
        <f>VLOOKUP($B36,'Standards Crosswalk'!$A1:$I321,9,FALSE)</f>
        <v>12.8, 4.2</v>
      </c>
      <c r="T36" s="181"/>
      <c r="U36" s="181"/>
      <c r="V36" s="181"/>
      <c r="W36" s="181"/>
      <c r="X36" s="181"/>
      <c r="Y36" s="181"/>
      <c r="Z36" s="6"/>
    </row>
    <row r="37" ht="72.0" customHeight="1">
      <c r="A37" s="334">
        <f t="shared" si="7"/>
        <v>35</v>
      </c>
      <c r="B37" s="335" t="s">
        <v>198</v>
      </c>
      <c r="C37" s="336" t="str">
        <f>VLOOKUP(B37,'HECVAT - Full'!A1:E312,2,FALSE)</f>
        <v>Describe or provide a reference to additional software/products necessary to implement a functional system on either the backend or user-interface side of the system. </v>
      </c>
      <c r="D37" s="334" t="str">
        <f>VLOOKUP(B37,'HECVAT - Full'!A1:E312,4,FALSE)</f>
        <v/>
      </c>
      <c r="E37" s="337" t="b">
        <f t="shared" si="8"/>
        <v>0</v>
      </c>
      <c r="F37" s="335" t="s">
        <v>3135</v>
      </c>
      <c r="G37" s="348"/>
      <c r="H37" s="338">
        <v>1.0</v>
      </c>
      <c r="I37" s="349" t="str">
        <f>VLOOKUP(B37,'HECVAT - Full'!A1:E312,3,FALSE)</f>
        <v>Typically, NodeJs</v>
      </c>
      <c r="J37" s="181">
        <f>IF(VLOOKUP(B37,'Analyst Report'!$A$41:$G$88,7,FALSE)="Yes",1,0)</f>
        <v>0</v>
      </c>
      <c r="K37" s="181">
        <f>IF(H37=1,15,"")</f>
        <v>15</v>
      </c>
      <c r="L37" s="181">
        <f t="shared" si="6"/>
        <v>0</v>
      </c>
      <c r="M37" s="198" t="str">
        <f>VLOOKUP($B37,'Standards Crosswalk'!$A1:$H321,3,FALSE)</f>
        <v>CSC 2</v>
      </c>
      <c r="N37" s="343" t="str">
        <f>VLOOKUP($B37,'Standards Crosswalk'!$A1:$H321,4,FALSE)</f>
        <v/>
      </c>
      <c r="O37" s="198" t="str">
        <f>VLOOKUP($B37,'Standards Crosswalk'!$A1:$H321,5,FALSE)</f>
        <v>12.5.1</v>
      </c>
      <c r="P37" s="198" t="str">
        <f>VLOOKUP($B37,'Standards Crosswalk'!$A1:$H321,6,FALSE)</f>
        <v>ID.AM-2</v>
      </c>
      <c r="Q37" s="343" t="str">
        <f>VLOOKUP($B37,'Standards Crosswalk'!$A1:$H321,7,FALSE)</f>
        <v/>
      </c>
      <c r="R37" s="343" t="str">
        <f>VLOOKUP($B37,'Standards Crosswalk'!$A1:$H321,8,FALSE)</f>
        <v/>
      </c>
      <c r="S37" s="343" t="str">
        <f>VLOOKUP($B37,'Standards Crosswalk'!$A1:$I321,9,FALSE)</f>
        <v/>
      </c>
      <c r="T37" s="181"/>
      <c r="U37" s="181"/>
      <c r="V37" s="181"/>
      <c r="W37" s="181"/>
      <c r="X37" s="181"/>
      <c r="Y37" s="181"/>
      <c r="Z37" s="6"/>
    </row>
    <row r="38" ht="100.5" customHeight="1">
      <c r="A38" s="334">
        <f t="shared" si="7"/>
        <v>36</v>
      </c>
      <c r="B38" s="335" t="s">
        <v>202</v>
      </c>
      <c r="C38" s="336" t="str">
        <f>VLOOKUP(B38,'HECVAT - Full'!A1:E312,2,FALSE)</f>
        <v>Describe or provide a reference to the overall system and/or application architecture(s), including appropriate diagrams. Include a full description of the data communications architecture for all components of the system. </v>
      </c>
      <c r="D38" s="334" t="str">
        <f>VLOOKUP(B38,'HECVAT - Full'!A1:E312,4,FALSE)</f>
        <v/>
      </c>
      <c r="E38" s="337" t="b">
        <f t="shared" si="8"/>
        <v>1</v>
      </c>
      <c r="F38" s="335" t="s">
        <v>3135</v>
      </c>
      <c r="G38" s="348"/>
      <c r="H38" s="338">
        <v>1.0</v>
      </c>
      <c r="I38" s="364" t="str">
        <f>VLOOKUP(B38,'HECVAT - Full'!A1:E312,3,FALSE)</f>
        <v>https://ltiaas.com/compliance</v>
      </c>
      <c r="J38" s="181">
        <f>IF(VLOOKUP(B38,'Analyst Report'!$A$41:$G$88,7,FALSE)="Yes",1,0)</f>
        <v>0</v>
      </c>
      <c r="K38" s="181">
        <f>IF(H38=1,25,"")</f>
        <v>25</v>
      </c>
      <c r="L38" s="181">
        <f t="shared" si="6"/>
        <v>0</v>
      </c>
      <c r="M38" s="198" t="str">
        <f>VLOOKUP($B38,'Standards Crosswalk'!$A1:$H321,3,FALSE)</f>
        <v>CSC 2</v>
      </c>
      <c r="N38" s="343" t="str">
        <f>VLOOKUP($B38,'Standards Crosswalk'!$A1:$H321,4,FALSE)</f>
        <v/>
      </c>
      <c r="O38" s="198" t="str">
        <f>VLOOKUP($B38,'Standards Crosswalk'!$A1:$H321,5,FALSE)</f>
        <v>12.1.1</v>
      </c>
      <c r="P38" s="198" t="str">
        <f>VLOOKUP($B38,'Standards Crosswalk'!$A1:$H321,6,FALSE)</f>
        <v>ID.AM-1, ID.AM-2, ID.AM-4</v>
      </c>
      <c r="Q38" s="343" t="str">
        <f>VLOOKUP($B38,'Standards Crosswalk'!$A1:$H321,7,FALSE)</f>
        <v/>
      </c>
      <c r="R38" s="198" t="str">
        <f>VLOOKUP($B38,'Standards Crosswalk'!$A1:$H321,8,FALSE)</f>
        <v>CA-9, SC-4</v>
      </c>
      <c r="S38" s="343">
        <f>VLOOKUP($B38,'Standards Crosswalk'!$A1:$I321,9,FALSE)</f>
        <v>2.4</v>
      </c>
      <c r="T38" s="181"/>
      <c r="U38" s="181"/>
      <c r="V38" s="181"/>
      <c r="W38" s="181"/>
      <c r="X38" s="181"/>
      <c r="Y38" s="181"/>
      <c r="Z38" s="6"/>
    </row>
    <row r="39" ht="57.75" customHeight="1">
      <c r="A39" s="334">
        <f t="shared" si="7"/>
        <v>37</v>
      </c>
      <c r="B39" s="335" t="s">
        <v>206</v>
      </c>
      <c r="C39" s="336" t="str">
        <f>VLOOKUP(B39,'HECVAT - Full'!A1:E312,2,FALSE)</f>
        <v>Are databases used in the system segregated from front-end systems? (e.g. web and application servers)</v>
      </c>
      <c r="D39" s="339" t="str">
        <f>VLOOKUP(B39,'HECVAT - Full'!A1:E312,4,FALSE)</f>
        <v>Our databases are redundant and run on separate containers from the applications.</v>
      </c>
      <c r="E39" s="337" t="b">
        <f t="shared" si="8"/>
        <v>1</v>
      </c>
      <c r="F39" s="335" t="s">
        <v>3135</v>
      </c>
      <c r="G39" s="335" t="s">
        <v>90</v>
      </c>
      <c r="H39" s="338">
        <v>1.0</v>
      </c>
      <c r="I39" s="336" t="str">
        <f>VLOOKUP(B39,'HECVAT - Full'!A1:E312,3,FALSE)</f>
        <v>Yes</v>
      </c>
      <c r="J39" s="181">
        <f>IF(G39=I39,1,0)</f>
        <v>1</v>
      </c>
      <c r="K39" s="181">
        <f>IF(H39=1,40,"")</f>
        <v>40</v>
      </c>
      <c r="L39" s="181">
        <f t="shared" si="6"/>
        <v>40</v>
      </c>
      <c r="M39" s="198" t="str">
        <f>VLOOKUP($B39,'Standards Crosswalk'!$A1:$H321,3,FALSE)</f>
        <v>CSC 13</v>
      </c>
      <c r="N39" s="343" t="str">
        <f>VLOOKUP($B39,'Standards Crosswalk'!$A1:$H321,4,FALSE)</f>
        <v/>
      </c>
      <c r="O39" s="198" t="str">
        <f>VLOOKUP($B39,'Standards Crosswalk'!$A1:$H321,5,FALSE)</f>
        <v>12.1.4</v>
      </c>
      <c r="P39" s="343" t="str">
        <f>VLOOKUP($B39,'Standards Crosswalk'!$A1:$H321,6,FALSE)</f>
        <v/>
      </c>
      <c r="Q39" s="343" t="str">
        <f>VLOOKUP($B39,'Standards Crosswalk'!$A1:$H321,7,FALSE)</f>
        <v/>
      </c>
      <c r="R39" s="343" t="str">
        <f>VLOOKUP($B39,'Standards Crosswalk'!$A1:$H321,8,FALSE)</f>
        <v/>
      </c>
      <c r="S39" s="343" t="str">
        <f>VLOOKUP($B39,'Standards Crosswalk'!$A1:$I321,9,FALSE)</f>
        <v/>
      </c>
      <c r="T39" s="181"/>
      <c r="U39" s="181"/>
      <c r="V39" s="181"/>
      <c r="W39" s="181"/>
      <c r="X39" s="181"/>
      <c r="Y39" s="181"/>
      <c r="Z39" s="6"/>
    </row>
    <row r="40" ht="72.0" customHeight="1">
      <c r="A40" s="334">
        <f t="shared" si="7"/>
        <v>38</v>
      </c>
      <c r="B40" s="335" t="s">
        <v>209</v>
      </c>
      <c r="C40" s="336" t="str">
        <f>VLOOKUP(B40,'HECVAT - Full'!A1:E312,2,FALSE)</f>
        <v>Describe or provide a reference to all web-enabled features and functionality of the system (i.e. accessed via a web-based interface). </v>
      </c>
      <c r="D40" s="334" t="str">
        <f>VLOOKUP(B40,'HECVAT - Full'!A1:E312,4,FALSE)</f>
        <v/>
      </c>
      <c r="E40" s="337" t="b">
        <f t="shared" si="8"/>
        <v>0</v>
      </c>
      <c r="F40" s="335" t="s">
        <v>3135</v>
      </c>
      <c r="G40" s="335" t="s">
        <v>85</v>
      </c>
      <c r="H40" s="338">
        <v>1.0</v>
      </c>
      <c r="I40" s="336" t="str">
        <f>VLOOKUP(B40,'HECVAT - Full'!A1:E312,3,FALSE)</f>
        <v>Each API instance can be accessed in two ways: through REST API that requires an API key only known by the customer. Through a customer portal where settings can be changed, but underlying API data can be accesses, just metadata like number of monthly active users.</v>
      </c>
      <c r="J40" s="181">
        <f>IF(VLOOKUP(B40,'Analyst Report'!$A$41:$G$88,7,FALSE)="Yes",1,0)</f>
        <v>0</v>
      </c>
      <c r="K40" s="181">
        <f>IF(H40=1,10,"")</f>
        <v>10</v>
      </c>
      <c r="L40" s="181">
        <f t="shared" si="6"/>
        <v>0</v>
      </c>
      <c r="M40" s="198" t="str">
        <f>VLOOKUP($B40,'Standards Crosswalk'!$A1:$H321,3,FALSE)</f>
        <v>CSC 7</v>
      </c>
      <c r="N40" s="343" t="str">
        <f>VLOOKUP($B40,'Standards Crosswalk'!$A1:$H321,4,FALSE)</f>
        <v/>
      </c>
      <c r="O40" s="198" t="str">
        <f>VLOOKUP($B40,'Standards Crosswalk'!$A1:$H321,5,FALSE)</f>
        <v>12.1.1</v>
      </c>
      <c r="P40" s="343" t="str">
        <f>VLOOKUP($B40,'Standards Crosswalk'!$A1:$H321,6,FALSE)</f>
        <v/>
      </c>
      <c r="Q40" s="343" t="str">
        <f>VLOOKUP($B40,'Standards Crosswalk'!$A1:$H321,7,FALSE)</f>
        <v/>
      </c>
      <c r="R40" s="343" t="str">
        <f>VLOOKUP($B40,'Standards Crosswalk'!$A1:$H321,8,FALSE)</f>
        <v/>
      </c>
      <c r="S40" s="343" t="str">
        <f>VLOOKUP($B40,'Standards Crosswalk'!$A1:$I321,9,FALSE)</f>
        <v/>
      </c>
      <c r="T40" s="181"/>
      <c r="U40" s="181"/>
      <c r="V40" s="181"/>
      <c r="W40" s="181"/>
      <c r="X40" s="181"/>
      <c r="Y40" s="181"/>
      <c r="Z40" s="6"/>
    </row>
    <row r="41" ht="43.5" customHeight="1">
      <c r="A41" s="334">
        <f t="shared" si="7"/>
        <v>39</v>
      </c>
      <c r="B41" s="335" t="s">
        <v>213</v>
      </c>
      <c r="C41" s="336" t="str">
        <f>VLOOKUP(B41,'HECVAT - Full'!A1:E312,2,FALSE)</f>
        <v>Are there any OS and/or web-browser combinations that are not currently supported?</v>
      </c>
      <c r="D41" s="358" t="str">
        <f>VLOOKUP(B41,'HECVAT - Full'!A1:E312,4,FALSE)</f>
        <v/>
      </c>
      <c r="E41" s="337" t="b">
        <f t="shared" si="8"/>
        <v>0</v>
      </c>
      <c r="F41" s="335" t="s">
        <v>3135</v>
      </c>
      <c r="G41" s="335" t="s">
        <v>85</v>
      </c>
      <c r="H41" s="338">
        <v>1.0</v>
      </c>
      <c r="I41" s="336" t="str">
        <f>VLOOKUP(B41,'HECVAT - Full'!A1:E312,3,FALSE)</f>
        <v>No</v>
      </c>
      <c r="J41" s="181">
        <f>IF(VLOOKUP(B41,'Analyst Report'!$A$41:$G$88,7,FALSE)="Yes",1,0)</f>
        <v>0</v>
      </c>
      <c r="K41" s="181">
        <f>IF(H41=1,15,"")</f>
        <v>15</v>
      </c>
      <c r="L41" s="181">
        <f t="shared" si="6"/>
        <v>0</v>
      </c>
      <c r="M41" s="198" t="str">
        <f>VLOOKUP($B41,'Standards Crosswalk'!$A1:$H321,3,FALSE)</f>
        <v>CSC 7</v>
      </c>
      <c r="N41" s="343" t="str">
        <f>VLOOKUP($B41,'Standards Crosswalk'!$A1:$H321,4,FALSE)</f>
        <v/>
      </c>
      <c r="O41" s="198" t="str">
        <f>VLOOKUP($B41,'Standards Crosswalk'!$A1:$H321,5,FALSE)</f>
        <v>12.5.1</v>
      </c>
      <c r="P41" s="343" t="str">
        <f>VLOOKUP($B41,'Standards Crosswalk'!$A1:$H321,6,FALSE)</f>
        <v/>
      </c>
      <c r="Q41" s="343" t="str">
        <f>VLOOKUP($B41,'Standards Crosswalk'!$A1:$H321,7,FALSE)</f>
        <v/>
      </c>
      <c r="R41" s="343" t="str">
        <f>VLOOKUP($B41,'Standards Crosswalk'!$A1:$H321,8,FALSE)</f>
        <v/>
      </c>
      <c r="S41" s="343" t="str">
        <f>VLOOKUP($B41,'Standards Crosswalk'!$A1:$I321,9,FALSE)</f>
        <v/>
      </c>
      <c r="T41" s="181"/>
      <c r="U41" s="181"/>
      <c r="V41" s="181"/>
      <c r="W41" s="181"/>
      <c r="X41" s="181"/>
      <c r="Y41" s="181"/>
      <c r="Z41" s="6"/>
    </row>
    <row r="42" ht="43.5" customHeight="1">
      <c r="A42" s="334">
        <f t="shared" si="7"/>
        <v>40</v>
      </c>
      <c r="B42" s="335" t="s">
        <v>215</v>
      </c>
      <c r="C42" s="336" t="str">
        <f>VLOOKUP(B42,'HECVAT - Full'!A1:E312,2,FALSE)</f>
        <v>Can your system take advantage of mobile and/or GPS enabled mobile devices?  </v>
      </c>
      <c r="D42" s="358" t="str">
        <f>VLOOKUP(B42,'HECVAT - Full'!A1:E312,4,FALSE)</f>
        <v>We do not manage and UIs in our service and all HTTPS endpoints are mobile-friendly.</v>
      </c>
      <c r="E42" s="337" t="b">
        <f t="shared" si="8"/>
        <v>1</v>
      </c>
      <c r="F42" s="335" t="s">
        <v>3135</v>
      </c>
      <c r="G42" s="335" t="s">
        <v>90</v>
      </c>
      <c r="H42" s="338">
        <v>1.0</v>
      </c>
      <c r="I42" s="336" t="str">
        <f>VLOOKUP(B42,'HECVAT - Full'!A1:E312,3,FALSE)</f>
        <v>Yes</v>
      </c>
      <c r="J42" s="181">
        <f>IF(G42=I42,1,0)</f>
        <v>1</v>
      </c>
      <c r="K42" s="181">
        <f t="shared" ref="K42:K44" si="21">IF(H42=1,25,"")</f>
        <v>25</v>
      </c>
      <c r="L42" s="181">
        <f t="shared" si="6"/>
        <v>25</v>
      </c>
      <c r="M42" s="198" t="str">
        <f>VLOOKUP($B42,'Standards Crosswalk'!$A1:$H321,3,FALSE)</f>
        <v>CSC 2</v>
      </c>
      <c r="N42" s="343" t="str">
        <f>VLOOKUP($B42,'Standards Crosswalk'!$A1:$H321,4,FALSE)</f>
        <v/>
      </c>
      <c r="O42" s="343" t="str">
        <f>VLOOKUP($B42,'Standards Crosswalk'!$A1:$H321,5,FALSE)</f>
        <v/>
      </c>
      <c r="P42" s="343" t="str">
        <f>VLOOKUP($B42,'Standards Crosswalk'!$A1:$H321,6,FALSE)</f>
        <v/>
      </c>
      <c r="Q42" s="343" t="str">
        <f>VLOOKUP($B42,'Standards Crosswalk'!$A1:$H321,7,FALSE)</f>
        <v/>
      </c>
      <c r="R42" s="343" t="str">
        <f>VLOOKUP($B42,'Standards Crosswalk'!$A1:$H321,8,FALSE)</f>
        <v/>
      </c>
      <c r="S42" s="343" t="str">
        <f>VLOOKUP($B42,'Standards Crosswalk'!$A1:$I321,9,FALSE)</f>
        <v/>
      </c>
      <c r="T42" s="181"/>
      <c r="U42" s="181"/>
      <c r="V42" s="181"/>
      <c r="W42" s="181"/>
      <c r="X42" s="181"/>
      <c r="Y42" s="181"/>
      <c r="Z42" s="6"/>
    </row>
    <row r="43" ht="72.0" customHeight="1">
      <c r="A43" s="334">
        <f t="shared" si="7"/>
        <v>41</v>
      </c>
      <c r="B43" s="335" t="s">
        <v>218</v>
      </c>
      <c r="C43" s="336" t="str">
        <f>VLOOKUP(B43,'HECVAT - Full'!A1:E312,2,FALSE)</f>
        <v>Describe or provide a reference to the facilities available in the system to provide separation of duties between security administration and system administration functions.</v>
      </c>
      <c r="D43" s="334" t="str">
        <f>VLOOKUP(B43,'HECVAT - Full'!A1:E312,4,FALSE)</f>
        <v/>
      </c>
      <c r="E43" s="337" t="b">
        <f t="shared" si="8"/>
        <v>1</v>
      </c>
      <c r="F43" s="335" t="s">
        <v>3135</v>
      </c>
      <c r="G43" s="335" t="s">
        <v>90</v>
      </c>
      <c r="H43" s="338">
        <v>1.0</v>
      </c>
      <c r="I43" s="364" t="str">
        <f>VLOOKUP(B43,'HECVAT - Full'!A1:E312,3,FALSE)</f>
        <v>This is documented in detail here: https://ltiaas.com/compliance</v>
      </c>
      <c r="J43" s="181">
        <f>IF(VLOOKUP(B43,'Analyst Report'!$A$41:$G$88,7,FALSE)="Yes",1,0)</f>
        <v>0</v>
      </c>
      <c r="K43" s="181">
        <f t="shared" si="21"/>
        <v>25</v>
      </c>
      <c r="L43" s="181">
        <f t="shared" si="6"/>
        <v>0</v>
      </c>
      <c r="M43" s="198" t="str">
        <f>VLOOKUP($B43,'Standards Crosswalk'!$A1:$H321,3,FALSE)</f>
        <v>CSC 14</v>
      </c>
      <c r="N43" s="343" t="str">
        <f>VLOOKUP($B43,'Standards Crosswalk'!$A1:$H321,4,FALSE)</f>
        <v/>
      </c>
      <c r="O43" s="198" t="str">
        <f>VLOOKUP($B43,'Standards Crosswalk'!$A1:$H321,5,FALSE)</f>
        <v>9.2.3, 12.1.4</v>
      </c>
      <c r="P43" s="198" t="str">
        <f>VLOOKUP($B43,'Standards Crosswalk'!$A1:$H321,6,FALSE)</f>
        <v>PR.AC-4, PR.PT-3</v>
      </c>
      <c r="Q43" s="198" t="str">
        <f>VLOOKUP($B43,'Standards Crosswalk'!$A1:$H321,7,FALSE)</f>
        <v>3.1.4</v>
      </c>
      <c r="R43" s="198" t="str">
        <f>VLOOKUP($B43,'Standards Crosswalk'!$A1:$H321,8,FALSE)</f>
        <v>AC-5</v>
      </c>
      <c r="S43" s="198" t="str">
        <f>VLOOKUP($B43,'Standards Crosswalk'!$A1:$I321,9,FALSE)</f>
        <v>12.x</v>
      </c>
      <c r="T43" s="181"/>
      <c r="U43" s="181"/>
      <c r="V43" s="181"/>
      <c r="W43" s="181"/>
      <c r="X43" s="181"/>
      <c r="Y43" s="181"/>
      <c r="Z43" s="6"/>
    </row>
    <row r="44" ht="72.0" customHeight="1">
      <c r="A44" s="334">
        <f t="shared" si="7"/>
        <v>42</v>
      </c>
      <c r="B44" s="335" t="s">
        <v>222</v>
      </c>
      <c r="C44" s="336" t="str">
        <f>VLOOKUP(B44,'HECVAT - Full'!A1:E312,2,FALSE)</f>
        <v>Describe or provide a reference that details how administrator access is handled (e.g. provisioning, principle of least privilege, deprovisioning, etc.)</v>
      </c>
      <c r="D44" s="334" t="str">
        <f>VLOOKUP(B44,'HECVAT - Full'!A1:E312,4,FALSE)</f>
        <v/>
      </c>
      <c r="E44" s="337" t="b">
        <f t="shared" si="8"/>
        <v>1</v>
      </c>
      <c r="F44" s="335" t="s">
        <v>3135</v>
      </c>
      <c r="G44" s="335" t="s">
        <v>90</v>
      </c>
      <c r="H44" s="338">
        <v>1.0</v>
      </c>
      <c r="I44" s="364" t="str">
        <f>VLOOKUP(B44,'HECVAT - Full'!A1:E312,3,FALSE)</f>
        <v>This is documented in detail here: https://ltiaas.com/compliance</v>
      </c>
      <c r="J44" s="181">
        <f>IF(VLOOKUP(B44,'Analyst Report'!$A$41:$G$88,7,FALSE)="Yes",1,0)</f>
        <v>0</v>
      </c>
      <c r="K44" s="181">
        <f t="shared" si="21"/>
        <v>25</v>
      </c>
      <c r="L44" s="181">
        <f t="shared" si="6"/>
        <v>0</v>
      </c>
      <c r="M44" s="198" t="str">
        <f>VLOOKUP($B44,'Standards Crosswalk'!$A1:$H321,3,FALSE)</f>
        <v>CSC 5</v>
      </c>
      <c r="N44" s="343" t="str">
        <f>VLOOKUP($B44,'Standards Crosswalk'!$A1:$H321,4,FALSE)</f>
        <v/>
      </c>
      <c r="O44" s="343">
        <f>VLOOKUP($B44,'Standards Crosswalk'!$A1:$H321,5,FALSE)</f>
        <v>9.2</v>
      </c>
      <c r="P44" s="198" t="str">
        <f>VLOOKUP($B44,'Standards Crosswalk'!$A1:$H321,6,FALSE)</f>
        <v>PR.AC-4, PR.PT-3</v>
      </c>
      <c r="Q44" s="198" t="str">
        <f>VLOOKUP($B44,'Standards Crosswalk'!$A1:$H321,7,FALSE)</f>
        <v>3.1.1, 3.1.5, 3.1.6, 3.7.1, 3.7.2</v>
      </c>
      <c r="R44" s="198" t="str">
        <f>VLOOKUP($B44,'Standards Crosswalk'!$A1:$H321,8,FALSE)</f>
        <v>AC-2, AC-3, AC-6, MA-2, MA-3</v>
      </c>
      <c r="S44" s="198" t="str">
        <f>VLOOKUP($B44,'Standards Crosswalk'!$A1:$I321,9,FALSE)</f>
        <v>7.x, 8.x</v>
      </c>
      <c r="T44" s="181"/>
      <c r="U44" s="181"/>
      <c r="V44" s="181"/>
      <c r="W44" s="181"/>
      <c r="X44" s="181"/>
      <c r="Y44" s="181"/>
      <c r="Z44" s="6"/>
    </row>
    <row r="45" ht="43.5" customHeight="1">
      <c r="A45" s="334">
        <f t="shared" si="7"/>
        <v>43</v>
      </c>
      <c r="B45" s="335" t="s">
        <v>226</v>
      </c>
      <c r="C45" s="336" t="str">
        <f>VLOOKUP(B45,'HECVAT - Full'!A1:E312,2,FALSE)</f>
        <v>Describe or provide references explaining how tertiary services are redundant (i.e. DNS, ISP, etc.).</v>
      </c>
      <c r="D45" s="334" t="str">
        <f>VLOOKUP(B45,'HECVAT - Full'!A1:E312,4,FALSE)</f>
        <v/>
      </c>
      <c r="E45" s="337" t="b">
        <f t="shared" si="8"/>
        <v>0</v>
      </c>
      <c r="F45" s="335" t="s">
        <v>3135</v>
      </c>
      <c r="G45" s="335" t="s">
        <v>90</v>
      </c>
      <c r="H45" s="338">
        <v>1.0</v>
      </c>
      <c r="I45" s="364" t="str">
        <f>VLOOKUP(B45,'HECVAT - Full'!A1:E312,3,FALSE)</f>
        <v>This is documented in detail here: https://ltiaas.com/compliance</v>
      </c>
      <c r="J45" s="181">
        <f>IF(VLOOKUP(B45,'Analyst Report'!$A$41:$G$88,7,FALSE)="Yes",1,0)</f>
        <v>0</v>
      </c>
      <c r="K45" s="181">
        <f>IF(H45=1,15,"")</f>
        <v>15</v>
      </c>
      <c r="L45" s="181">
        <f t="shared" si="6"/>
        <v>0</v>
      </c>
      <c r="M45" s="198" t="str">
        <f>VLOOKUP($B45,'Standards Crosswalk'!$A1:$H321,3,FALSE)</f>
        <v>CSC 14</v>
      </c>
      <c r="N45" s="343" t="str">
        <f>VLOOKUP($B45,'Standards Crosswalk'!$A1:$H321,4,FALSE)</f>
        <v/>
      </c>
      <c r="O45" s="198" t="str">
        <f>VLOOKUP($B45,'Standards Crosswalk'!$A1:$H321,5,FALSE)</f>
        <v>9.1.1</v>
      </c>
      <c r="P45" s="198" t="str">
        <f>VLOOKUP($B45,'Standards Crosswalk'!$A1:$H321,6,FALSE)</f>
        <v>PR.AC-4</v>
      </c>
      <c r="Q45" s="198" t="str">
        <f>VLOOKUP($B45,'Standards Crosswalk'!$A1:$H321,7,FALSE)</f>
        <v>3.1.2</v>
      </c>
      <c r="R45" s="343" t="str">
        <f>VLOOKUP($B45,'Standards Crosswalk'!$A1:$H321,8,FALSE)</f>
        <v/>
      </c>
      <c r="S45" s="343" t="str">
        <f>VLOOKUP($B45,'Standards Crosswalk'!$A1:$I321,9,FALSE)</f>
        <v/>
      </c>
      <c r="T45" s="181"/>
      <c r="U45" s="181"/>
      <c r="V45" s="181"/>
      <c r="W45" s="181"/>
      <c r="X45" s="181"/>
      <c r="Y45" s="181"/>
      <c r="Z45" s="6"/>
    </row>
    <row r="46" ht="86.25" customHeight="1">
      <c r="A46" s="334">
        <f t="shared" si="7"/>
        <v>44</v>
      </c>
      <c r="B46" s="335" t="s">
        <v>230</v>
      </c>
      <c r="C46" s="336" t="str">
        <f>VLOOKUP(B46,'HECVAT - Full'!A1:E312,2,FALSE)</f>
        <v>Can you enforce password/passphrase aging requirements?</v>
      </c>
      <c r="D46" s="339" t="str">
        <f>VLOOKUP(B46,'HECVAT - Full'!A1:E312,4,FALSE)</f>
        <v>All employees have a 6-month password change requirement. Customer password aging is managed by the customer's persinal Google OAuth account settings.</v>
      </c>
      <c r="E46" s="337" t="b">
        <f t="shared" si="8"/>
        <v>1</v>
      </c>
      <c r="F46" s="357" t="s">
        <v>3120</v>
      </c>
      <c r="G46" s="335" t="s">
        <v>90</v>
      </c>
      <c r="H46" s="338">
        <v>1.0</v>
      </c>
      <c r="I46" s="336" t="str">
        <f>VLOOKUP(B46,'HECVAT - Full'!A1:E312,3,FALSE)</f>
        <v>Yes</v>
      </c>
      <c r="J46" s="181">
        <f t="shared" ref="J46:J60" si="22">IF(G46=I46,1,0)</f>
        <v>1</v>
      </c>
      <c r="K46" s="181">
        <f t="shared" ref="K46:K48" si="23">IF(H46=1,25,"")</f>
        <v>25</v>
      </c>
      <c r="L46" s="181">
        <f t="shared" si="6"/>
        <v>25</v>
      </c>
      <c r="M46" s="198" t="str">
        <f>VLOOKUP($B46,'Standards Crosswalk'!$A1:$H321,3,FALSE)</f>
        <v>CSC 16</v>
      </c>
      <c r="N46" s="198" t="str">
        <f>VLOOKUP($B46,'Standards Crosswalk'!$A1:$H321,4,FALSE)</f>
        <v/>
      </c>
      <c r="O46" s="198" t="str">
        <f>VLOOKUP($B46,'Standards Crosswalk'!$A1:$H321,5,FALSE)</f>
        <v>9.2.3, 9.3.1, 9.4.3</v>
      </c>
      <c r="P46" s="198" t="str">
        <f>VLOOKUP($B46,'Standards Crosswalk'!$A1:$H321,6,FALSE)</f>
        <v>PR.AC-1</v>
      </c>
      <c r="Q46" s="198" t="str">
        <f>VLOOKUP($B46,'Standards Crosswalk'!$A1:$H321,7,FALSE)</f>
        <v>3.5.6</v>
      </c>
      <c r="R46" s="198" t="str">
        <f>VLOOKUP($B46,'Standards Crosswalk'!$A1:$H321,8,FALSE)</f>
        <v>IA-4</v>
      </c>
      <c r="S46" s="198" t="str">
        <f>VLOOKUP($B46,'Standards Crosswalk'!$A1:$I321,9,FALSE)</f>
        <v>8.x</v>
      </c>
      <c r="T46" s="181"/>
      <c r="U46" s="181"/>
      <c r="V46" s="181"/>
      <c r="W46" s="181"/>
      <c r="X46" s="181"/>
      <c r="Y46" s="181"/>
      <c r="Z46" s="6"/>
    </row>
    <row r="47" ht="86.25" customHeight="1">
      <c r="A47" s="334">
        <f t="shared" si="7"/>
        <v>45</v>
      </c>
      <c r="B47" s="335" t="s">
        <v>233</v>
      </c>
      <c r="C47" s="336" t="str">
        <f>VLOOKUP(B47,'HECVAT - Full'!A1:E312,2,FALSE)</f>
        <v>Can you enforce password/passphrase complexity requirements [provided by the institution]?</v>
      </c>
      <c r="D47" s="339" t="str">
        <f>VLOOKUP(B47,'HECVAT - Full'!A1:E312,4,FALSE)</f>
        <v>We do not handle institution user accounts or passwords.</v>
      </c>
      <c r="E47" s="337" t="b">
        <f t="shared" si="8"/>
        <v>1</v>
      </c>
      <c r="F47" s="357" t="s">
        <v>3120</v>
      </c>
      <c r="G47" s="335" t="s">
        <v>90</v>
      </c>
      <c r="H47" s="338">
        <v>1.0</v>
      </c>
      <c r="I47" s="336" t="str">
        <f>VLOOKUP(B47,'HECVAT - Full'!A1:E312,3,FALSE)</f>
        <v>No</v>
      </c>
      <c r="J47" s="181">
        <f t="shared" si="22"/>
        <v>0</v>
      </c>
      <c r="K47" s="181">
        <f t="shared" si="23"/>
        <v>25</v>
      </c>
      <c r="L47" s="181">
        <f t="shared" si="6"/>
        <v>0</v>
      </c>
      <c r="M47" s="198" t="str">
        <f>VLOOKUP($B47,'Standards Crosswalk'!$A1:$H321,3,FALSE)</f>
        <v>CSC 16</v>
      </c>
      <c r="N47" s="198" t="str">
        <f>VLOOKUP($B47,'Standards Crosswalk'!$A1:$H321,4,FALSE)</f>
        <v/>
      </c>
      <c r="O47" s="198" t="str">
        <f>VLOOKUP($B47,'Standards Crosswalk'!$A1:$H321,5,FALSE)</f>
        <v>9.2.3, 9.3.1, 9.4.3</v>
      </c>
      <c r="P47" s="198" t="str">
        <f>VLOOKUP($B47,'Standards Crosswalk'!$A1:$H321,6,FALSE)</f>
        <v>PR.AC-1</v>
      </c>
      <c r="Q47" s="198" t="str">
        <f>VLOOKUP($B47,'Standards Crosswalk'!$A1:$H321,7,FALSE)</f>
        <v>3.5.7</v>
      </c>
      <c r="R47" s="198" t="str">
        <f>VLOOKUP($B47,'Standards Crosswalk'!$A1:$H321,8,FALSE)</f>
        <v>IA-5(1)</v>
      </c>
      <c r="S47" s="198" t="str">
        <f>VLOOKUP($B47,'Standards Crosswalk'!$A1:$I321,9,FALSE)</f>
        <v>8.x</v>
      </c>
      <c r="T47" s="181"/>
      <c r="U47" s="181"/>
      <c r="V47" s="181"/>
      <c r="W47" s="181"/>
      <c r="X47" s="181"/>
      <c r="Y47" s="181"/>
      <c r="Z47" s="6"/>
    </row>
    <row r="48" ht="86.25" customHeight="1">
      <c r="A48" s="334">
        <f t="shared" si="7"/>
        <v>46</v>
      </c>
      <c r="B48" s="335" t="s">
        <v>236</v>
      </c>
      <c r="C48" s="336" t="str">
        <f>VLOOKUP(B48,'HECVAT - Full'!A1:E312,2,FALSE)</f>
        <v>Does the system have password complexity or length limitations and/or restrictions?</v>
      </c>
      <c r="D48" s="334" t="str">
        <f>VLOOKUP(B48,'HECVAT - Full'!A1:E312,4,FALSE)</f>
        <v/>
      </c>
      <c r="E48" s="337" t="b">
        <f t="shared" si="8"/>
        <v>1</v>
      </c>
      <c r="F48" s="357" t="s">
        <v>3120</v>
      </c>
      <c r="G48" s="335" t="s">
        <v>90</v>
      </c>
      <c r="H48" s="338">
        <v>1.0</v>
      </c>
      <c r="I48" s="336" t="str">
        <f>VLOOKUP(B48,'HECVAT - Full'!A1:E312,3,FALSE)</f>
        <v>Yes</v>
      </c>
      <c r="J48" s="181">
        <f t="shared" si="22"/>
        <v>1</v>
      </c>
      <c r="K48" s="181">
        <f t="shared" si="23"/>
        <v>25</v>
      </c>
      <c r="L48" s="181">
        <f t="shared" si="6"/>
        <v>25</v>
      </c>
      <c r="M48" s="198" t="str">
        <f>VLOOKUP($B48,'Standards Crosswalk'!$A1:$H321,3,FALSE)</f>
        <v>CSC 16</v>
      </c>
      <c r="N48" s="198" t="str">
        <f>VLOOKUP($B48,'Standards Crosswalk'!$A1:$H321,4,FALSE)</f>
        <v/>
      </c>
      <c r="O48" s="198" t="str">
        <f>VLOOKUP($B48,'Standards Crosswalk'!$A1:$H321,5,FALSE)</f>
        <v>9.2.3, 9.3.1, 9.4.3</v>
      </c>
      <c r="P48" s="198" t="str">
        <f>VLOOKUP($B48,'Standards Crosswalk'!$A1:$H321,6,FALSE)</f>
        <v>PR.AC-1</v>
      </c>
      <c r="Q48" s="343" t="str">
        <f>VLOOKUP($B48,'Standards Crosswalk'!$A1:$H321,7,FALSE)</f>
        <v/>
      </c>
      <c r="R48" s="198" t="str">
        <f>VLOOKUP($B48,'Standards Crosswalk'!$A1:$H321,8,FALSE)</f>
        <v/>
      </c>
      <c r="S48" s="198" t="str">
        <f>VLOOKUP($B48,'Standards Crosswalk'!$A1:$I321,9,FALSE)</f>
        <v>8.x</v>
      </c>
      <c r="T48" s="181"/>
      <c r="U48" s="181"/>
      <c r="V48" s="181"/>
      <c r="W48" s="181"/>
      <c r="X48" s="181"/>
      <c r="Y48" s="181"/>
      <c r="Z48" s="6"/>
    </row>
    <row r="49" ht="86.25" customHeight="1">
      <c r="A49" s="334">
        <f t="shared" si="7"/>
        <v>47</v>
      </c>
      <c r="B49" s="335" t="s">
        <v>238</v>
      </c>
      <c r="C49" s="336" t="str">
        <f>VLOOKUP(B49,'HECVAT - Full'!A1:E312,2,FALSE)</f>
        <v>Do you have documented password/passphrase reset procedures that are currently implemented in the system and/or customer support?</v>
      </c>
      <c r="D49" s="339" t="str">
        <f>VLOOKUP(B49,'HECVAT - Full'!A1:E312,4,FALSE)</f>
        <v>We use Google authentication for our staff accounts.</v>
      </c>
      <c r="E49" s="337" t="b">
        <f t="shared" si="8"/>
        <v>0</v>
      </c>
      <c r="F49" s="357" t="s">
        <v>3120</v>
      </c>
      <c r="G49" s="335" t="s">
        <v>90</v>
      </c>
      <c r="H49" s="338">
        <v>1.0</v>
      </c>
      <c r="I49" s="336" t="str">
        <f>VLOOKUP(B49,'HECVAT - Full'!A1:E312,3,FALSE)</f>
        <v>Yes</v>
      </c>
      <c r="J49" s="181">
        <f t="shared" si="22"/>
        <v>1</v>
      </c>
      <c r="K49" s="181">
        <f>IF(H49=1,20,"")</f>
        <v>20</v>
      </c>
      <c r="L49" s="181">
        <f t="shared" si="6"/>
        <v>20</v>
      </c>
      <c r="M49" s="198" t="str">
        <f>VLOOKUP($B49,'Standards Crosswalk'!$A1:$H321,3,FALSE)</f>
        <v>CSC 16</v>
      </c>
      <c r="N49" s="198" t="str">
        <f>VLOOKUP($B49,'Standards Crosswalk'!$A1:$H321,4,FALSE)</f>
        <v/>
      </c>
      <c r="O49" s="198" t="str">
        <f>VLOOKUP($B49,'Standards Crosswalk'!$A1:$H321,5,FALSE)</f>
        <v>9.2.3, 9.3.1, 9.4.3</v>
      </c>
      <c r="P49" s="198" t="str">
        <f>VLOOKUP($B49,'Standards Crosswalk'!$A1:$H321,6,FALSE)</f>
        <v>PR.AC-1</v>
      </c>
      <c r="Q49" s="198" t="str">
        <f>VLOOKUP($B49,'Standards Crosswalk'!$A1:$H321,7,FALSE)</f>
        <v>3.5.5, 3.5.8</v>
      </c>
      <c r="R49" s="198" t="str">
        <f>VLOOKUP($B49,'Standards Crosswalk'!$A1:$H321,8,FALSE)</f>
        <v>IA-4</v>
      </c>
      <c r="S49" s="198" t="str">
        <f>VLOOKUP($B49,'Standards Crosswalk'!$A1:$I321,9,FALSE)</f>
        <v>2.1, 8.x</v>
      </c>
      <c r="T49" s="181"/>
      <c r="U49" s="181"/>
      <c r="V49" s="181"/>
      <c r="W49" s="181"/>
      <c r="X49" s="181"/>
      <c r="Y49" s="181"/>
      <c r="Z49" s="6"/>
    </row>
    <row r="50" ht="86.25" customHeight="1">
      <c r="A50" s="334">
        <f t="shared" si="7"/>
        <v>48</v>
      </c>
      <c r="B50" s="335" t="s">
        <v>241</v>
      </c>
      <c r="C50" s="336" t="str">
        <f>VLOOKUP(B50,'HECVAT - Full'!A1:E312,2,FALSE)</f>
        <v>Does your web-based interface support authentication, including standards-based single-sign-on? (e.g. InCommon)</v>
      </c>
      <c r="D50" s="339" t="str">
        <f>VLOOKUP(B50,'HECVAT - Full'!A1:E312,4,FALSE)</f>
        <v>Google OAuth, potentially more available upon request</v>
      </c>
      <c r="E50" s="337" t="b">
        <f t="shared" si="8"/>
        <v>1</v>
      </c>
      <c r="F50" s="357" t="s">
        <v>3120</v>
      </c>
      <c r="G50" s="335" t="s">
        <v>90</v>
      </c>
      <c r="H50" s="338">
        <v>1.0</v>
      </c>
      <c r="I50" s="336" t="str">
        <f>VLOOKUP(B50,'HECVAT - Full'!A1:E312,3,FALSE)</f>
        <v>Yes</v>
      </c>
      <c r="J50" s="181">
        <f t="shared" si="22"/>
        <v>1</v>
      </c>
      <c r="K50" s="181">
        <f t="shared" ref="K50:K51" si="24">IF(H50=1,40,"")</f>
        <v>40</v>
      </c>
      <c r="L50" s="181">
        <f t="shared" si="6"/>
        <v>40</v>
      </c>
      <c r="M50" s="198" t="str">
        <f>VLOOKUP($B50,'Standards Crosswalk'!$A1:$H321,3,FALSE)</f>
        <v>CSC 16</v>
      </c>
      <c r="N50" s="198" t="str">
        <f>VLOOKUP($B50,'Standards Crosswalk'!$A1:$H321,4,FALSE)</f>
        <v/>
      </c>
      <c r="O50" s="198" t="str">
        <f>VLOOKUP($B50,'Standards Crosswalk'!$A1:$H321,5,FALSE)</f>
        <v>9.1.1, 9.2.3, 9.3.1, 9.4.3</v>
      </c>
      <c r="P50" s="198" t="str">
        <f>VLOOKUP($B50,'Standards Crosswalk'!$A1:$H321,6,FALSE)</f>
        <v>PR.AC-1</v>
      </c>
      <c r="Q50" s="198" t="str">
        <f>VLOOKUP($B50,'Standards Crosswalk'!$A1:$H321,7,FALSE)</f>
        <v>3.5.1</v>
      </c>
      <c r="R50" s="198" t="str">
        <f>VLOOKUP($B50,'Standards Crosswalk'!$A1:$H321,8,FALSE)</f>
        <v>IA-2, IA-5</v>
      </c>
      <c r="S50" s="198" t="str">
        <f>VLOOKUP($B50,'Standards Crosswalk'!$A1:$I321,9,FALSE)</f>
        <v>8.x</v>
      </c>
      <c r="T50" s="181"/>
      <c r="U50" s="181"/>
      <c r="V50" s="181"/>
      <c r="W50" s="181"/>
      <c r="X50" s="181"/>
      <c r="Y50" s="181"/>
      <c r="Z50" s="6"/>
    </row>
    <row r="51" ht="86.25" customHeight="1">
      <c r="A51" s="334">
        <f t="shared" si="7"/>
        <v>49</v>
      </c>
      <c r="B51" s="335" t="s">
        <v>244</v>
      </c>
      <c r="C51" s="336" t="str">
        <f>VLOOKUP(B51,'HECVAT - Full'!A1:E312,2,FALSE)</f>
        <v>Are there any passwords/passphrases hard coded into your systems or products?</v>
      </c>
      <c r="D51" s="358" t="str">
        <f>VLOOKUP(B51,'HECVAT - Full'!A1:E312,4,FALSE)</f>
        <v/>
      </c>
      <c r="E51" s="337" t="b">
        <f t="shared" si="8"/>
        <v>1</v>
      </c>
      <c r="F51" s="357" t="s">
        <v>3120</v>
      </c>
      <c r="G51" s="335" t="s">
        <v>85</v>
      </c>
      <c r="H51" s="338">
        <v>1.0</v>
      </c>
      <c r="I51" s="336" t="str">
        <f>VLOOKUP(B51,'HECVAT - Full'!A1:E312,3,FALSE)</f>
        <v>No</v>
      </c>
      <c r="J51" s="181">
        <f t="shared" si="22"/>
        <v>1</v>
      </c>
      <c r="K51" s="181">
        <f t="shared" si="24"/>
        <v>40</v>
      </c>
      <c r="L51" s="181">
        <f t="shared" si="6"/>
        <v>40</v>
      </c>
      <c r="M51" s="198" t="str">
        <f>VLOOKUP($B51,'Standards Crosswalk'!$A1:$H321,3,FALSE)</f>
        <v>CSC 16</v>
      </c>
      <c r="N51" s="198" t="str">
        <f>VLOOKUP($B51,'Standards Crosswalk'!$A1:$H321,4,FALSE)</f>
        <v/>
      </c>
      <c r="O51" s="198" t="str">
        <f>VLOOKUP($B51,'Standards Crosswalk'!$A1:$H321,5,FALSE)</f>
        <v>9</v>
      </c>
      <c r="P51" s="198" t="str">
        <f>VLOOKUP($B51,'Standards Crosswalk'!$A1:$H321,6,FALSE)</f>
        <v/>
      </c>
      <c r="Q51" s="343" t="str">
        <f>VLOOKUP($B51,'Standards Crosswalk'!$A1:$H321,7,FALSE)</f>
        <v/>
      </c>
      <c r="R51" s="198" t="str">
        <f>VLOOKUP($B51,'Standards Crosswalk'!$A1:$H321,8,FALSE)</f>
        <v/>
      </c>
      <c r="S51" s="198" t="str">
        <f>VLOOKUP($B51,'Standards Crosswalk'!$A1:$I321,9,FALSE)</f>
        <v>2.1, 8.x</v>
      </c>
      <c r="T51" s="181"/>
      <c r="U51" s="181"/>
      <c r="V51" s="181"/>
      <c r="W51" s="181"/>
      <c r="X51" s="181"/>
      <c r="Y51" s="181"/>
      <c r="Z51" s="6"/>
    </row>
    <row r="52" ht="86.25" customHeight="1">
      <c r="A52" s="334">
        <f t="shared" si="7"/>
        <v>50</v>
      </c>
      <c r="B52" s="335" t="s">
        <v>246</v>
      </c>
      <c r="C52" s="336" t="str">
        <f>VLOOKUP(B52,'HECVAT - Full'!A1:E312,2,FALSE)</f>
        <v>Are user account passwords/passphrases visible in administration modules?</v>
      </c>
      <c r="D52" s="358" t="str">
        <f>VLOOKUP(B52,'HECVAT - Full'!A1:E312,4,FALSE)</f>
        <v/>
      </c>
      <c r="E52" s="337" t="b">
        <f t="shared" si="8"/>
        <v>1</v>
      </c>
      <c r="F52" s="357" t="s">
        <v>3120</v>
      </c>
      <c r="G52" s="335" t="s">
        <v>85</v>
      </c>
      <c r="H52" s="338">
        <v>1.0</v>
      </c>
      <c r="I52" s="336" t="str">
        <f>VLOOKUP(B52,'HECVAT - Full'!A1:E312,3,FALSE)</f>
        <v>No</v>
      </c>
      <c r="J52" s="181">
        <f t="shared" si="22"/>
        <v>1</v>
      </c>
      <c r="K52" s="181">
        <f>IF(H52=1,25,"")</f>
        <v>25</v>
      </c>
      <c r="L52" s="181">
        <f t="shared" si="6"/>
        <v>25</v>
      </c>
      <c r="M52" s="198" t="str">
        <f>VLOOKUP($B52,'Standards Crosswalk'!$A1:$H321,3,FALSE)</f>
        <v>CSC 16</v>
      </c>
      <c r="N52" s="198" t="str">
        <f>VLOOKUP($B52,'Standards Crosswalk'!$A1:$H321,4,FALSE)</f>
        <v/>
      </c>
      <c r="O52" s="198" t="str">
        <f>VLOOKUP($B52,'Standards Crosswalk'!$A1:$H321,5,FALSE)</f>
        <v>9</v>
      </c>
      <c r="P52" s="198" t="str">
        <f>VLOOKUP($B52,'Standards Crosswalk'!$A1:$H321,6,FALSE)</f>
        <v>PR.AC-1</v>
      </c>
      <c r="Q52" s="343" t="str">
        <f>VLOOKUP($B52,'Standards Crosswalk'!$A1:$H321,7,FALSE)</f>
        <v/>
      </c>
      <c r="R52" s="198" t="str">
        <f>VLOOKUP($B52,'Standards Crosswalk'!$A1:$H321,8,FALSE)</f>
        <v/>
      </c>
      <c r="S52" s="198" t="str">
        <f>VLOOKUP($B52,'Standards Crosswalk'!$A1:$I321,9,FALSE)</f>
        <v>8.x</v>
      </c>
      <c r="T52" s="181"/>
      <c r="U52" s="181"/>
      <c r="V52" s="181"/>
      <c r="W52" s="181"/>
      <c r="X52" s="181"/>
      <c r="Y52" s="181"/>
      <c r="Z52" s="6"/>
    </row>
    <row r="53" ht="86.25" customHeight="1">
      <c r="A53" s="334">
        <f t="shared" si="7"/>
        <v>51</v>
      </c>
      <c r="B53" s="335" t="s">
        <v>248</v>
      </c>
      <c r="C53" s="336" t="str">
        <f>VLOOKUP(B53,'HECVAT - Full'!A1:E312,2,FALSE)</f>
        <v>Are user account passwords/passphrases stored encrypted?</v>
      </c>
      <c r="D53" s="363" t="str">
        <f>VLOOKUP(B53,'HECVAT - Full'!A1:E312,4,FALSE)</f>
        <v>https://firebaseopensource.com/projects/firebase/scrypt/</v>
      </c>
      <c r="E53" s="337" t="b">
        <f t="shared" si="8"/>
        <v>1</v>
      </c>
      <c r="F53" s="357" t="s">
        <v>3120</v>
      </c>
      <c r="G53" s="335" t="s">
        <v>90</v>
      </c>
      <c r="H53" s="338">
        <v>1.0</v>
      </c>
      <c r="I53" s="336" t="str">
        <f>VLOOKUP(B53,'HECVAT - Full'!A1:E312,3,FALSE)</f>
        <v>Yes</v>
      </c>
      <c r="J53" s="181">
        <f t="shared" si="22"/>
        <v>1</v>
      </c>
      <c r="K53" s="181">
        <f>IF(H53=1,40,"")</f>
        <v>40</v>
      </c>
      <c r="L53" s="181">
        <f t="shared" si="6"/>
        <v>40</v>
      </c>
      <c r="M53" s="198" t="str">
        <f>VLOOKUP($B53,'Standards Crosswalk'!$A1:$H321,3,FALSE)</f>
        <v>CSC 16</v>
      </c>
      <c r="N53" s="198" t="str">
        <f>VLOOKUP($B53,'Standards Crosswalk'!$A1:$H321,4,FALSE)</f>
        <v/>
      </c>
      <c r="O53" s="198" t="str">
        <f>VLOOKUP($B53,'Standards Crosswalk'!$A1:$H321,5,FALSE)</f>
        <v>9</v>
      </c>
      <c r="P53" s="198" t="str">
        <f>VLOOKUP($B53,'Standards Crosswalk'!$A1:$H321,6,FALSE)</f>
        <v>PR.AC-1</v>
      </c>
      <c r="Q53" s="198" t="str">
        <f>VLOOKUP($B53,'Standards Crosswalk'!$A1:$H321,7,FALSE)</f>
        <v>3.5.10</v>
      </c>
      <c r="R53" s="198" t="str">
        <f>VLOOKUP($B53,'Standards Crosswalk'!$A1:$H321,8,FALSE)</f>
        <v>IA-5(1)</v>
      </c>
      <c r="S53" s="198" t="str">
        <f>VLOOKUP($B53,'Standards Crosswalk'!$A1:$I321,9,FALSE)</f>
        <v>8.x</v>
      </c>
      <c r="T53" s="181"/>
      <c r="U53" s="181"/>
      <c r="V53" s="181"/>
      <c r="W53" s="181"/>
      <c r="X53" s="181"/>
      <c r="Y53" s="181"/>
      <c r="Z53" s="6"/>
    </row>
    <row r="54" ht="86.25" customHeight="1">
      <c r="A54" s="334">
        <f t="shared" si="7"/>
        <v>52</v>
      </c>
      <c r="B54" s="335" t="s">
        <v>251</v>
      </c>
      <c r="C54" s="336" t="str">
        <f>VLOOKUP(B54,'HECVAT - Full'!A1:E312,2,FALSE)</f>
        <v>Does your application and/or user-frontend/portal support multi-factor authentication? (e.g. Duo, Google Authenticator, OTP, etc.)</v>
      </c>
      <c r="D54" s="339" t="str">
        <f>VLOOKUP(B54,'HECVAT - Full'!A1:E312,4,FALSE)</f>
        <v>We support multi factor authentication through Google</v>
      </c>
      <c r="E54" s="337" t="b">
        <f t="shared" si="8"/>
        <v>0</v>
      </c>
      <c r="F54" s="357" t="s">
        <v>3120</v>
      </c>
      <c r="G54" s="335" t="s">
        <v>90</v>
      </c>
      <c r="H54" s="338">
        <v>1.0</v>
      </c>
      <c r="I54" s="336" t="str">
        <f>VLOOKUP(B54,'HECVAT - Full'!A1:E312,3,FALSE)</f>
        <v>Yes</v>
      </c>
      <c r="J54" s="181">
        <f t="shared" si="22"/>
        <v>1</v>
      </c>
      <c r="K54" s="181">
        <f>IF(H54=1,20,"")</f>
        <v>20</v>
      </c>
      <c r="L54" s="181">
        <f t="shared" si="6"/>
        <v>20</v>
      </c>
      <c r="M54" s="198" t="str">
        <f>VLOOKUP($B54,'Standards Crosswalk'!$A1:$H321,3,FALSE)</f>
        <v>CSC 16</v>
      </c>
      <c r="N54" s="198" t="str">
        <f>VLOOKUP($B54,'Standards Crosswalk'!$A1:$H321,4,FALSE)</f>
        <v/>
      </c>
      <c r="O54" s="198" t="str">
        <f>VLOOKUP($B54,'Standards Crosswalk'!$A1:$H321,5,FALSE)</f>
        <v>9</v>
      </c>
      <c r="P54" s="198" t="str">
        <f>VLOOKUP($B54,'Standards Crosswalk'!$A1:$H321,6,FALSE)</f>
        <v>PR.AC-4</v>
      </c>
      <c r="Q54" s="198" t="str">
        <f>VLOOKUP($B54,'Standards Crosswalk'!$A1:$H321,7,FALSE)</f>
        <v>3.5.2, 3.5.3</v>
      </c>
      <c r="R54" s="198" t="str">
        <f>VLOOKUP($B54,'Standards Crosswalk'!$A1:$H321,8,FALSE)</f>
        <v>IA-5</v>
      </c>
      <c r="S54" s="198" t="str">
        <f>VLOOKUP($B54,'Standards Crosswalk'!$A1:$I321,9,FALSE)</f>
        <v>8.x</v>
      </c>
      <c r="T54" s="181"/>
      <c r="U54" s="181"/>
      <c r="V54" s="181"/>
      <c r="W54" s="181"/>
      <c r="X54" s="181"/>
      <c r="Y54" s="181"/>
      <c r="Z54" s="6"/>
    </row>
    <row r="55" ht="86.25" customHeight="1">
      <c r="A55" s="334">
        <f t="shared" si="7"/>
        <v>53</v>
      </c>
      <c r="B55" s="335" t="s">
        <v>254</v>
      </c>
      <c r="C55" s="336" t="str">
        <f>VLOOKUP(B55,'HECVAT - Full'!A1:E312,2,FALSE)</f>
        <v>Does your application support integration with other authentication and authorization systems?  List which ones (such as Active Directory, Kerberos and what version) in Additional Info?</v>
      </c>
      <c r="D55" s="339" t="str">
        <f>VLOOKUP(B55,'HECVAT - Full'!A1:E312,4,FALSE)</f>
        <v>Our system supports Google SSO, other systems may be requested.</v>
      </c>
      <c r="E55" s="337" t="b">
        <f t="shared" si="8"/>
        <v>0</v>
      </c>
      <c r="F55" s="357" t="s">
        <v>3120</v>
      </c>
      <c r="G55" s="335" t="s">
        <v>90</v>
      </c>
      <c r="H55" s="338">
        <v>1.0</v>
      </c>
      <c r="I55" s="336" t="str">
        <f>VLOOKUP(B55,'HECVAT - Full'!A1:E312,3,FALSE)</f>
        <v>Yes</v>
      </c>
      <c r="J55" s="181">
        <f t="shared" si="22"/>
        <v>1</v>
      </c>
      <c r="K55" s="181">
        <f>IF(H55=1,15,"")</f>
        <v>15</v>
      </c>
      <c r="L55" s="181">
        <f t="shared" si="6"/>
        <v>15</v>
      </c>
      <c r="M55" s="198" t="str">
        <f>VLOOKUP($B55,'Standards Crosswalk'!$A1:$H321,3,FALSE)</f>
        <v>CSC 16</v>
      </c>
      <c r="N55" s="198" t="str">
        <f>VLOOKUP($B55,'Standards Crosswalk'!$A1:$H321,4,FALSE)</f>
        <v/>
      </c>
      <c r="O55" s="198" t="str">
        <f>VLOOKUP($B55,'Standards Crosswalk'!$A1:$H321,5,FALSE)</f>
        <v>9.4.3</v>
      </c>
      <c r="P55" s="198" t="str">
        <f>VLOOKUP($B55,'Standards Crosswalk'!$A1:$H321,6,FALSE)</f>
        <v>PR.AC-1, PR.AC-4</v>
      </c>
      <c r="Q55" s="343" t="str">
        <f>VLOOKUP($B55,'Standards Crosswalk'!$A1:$H321,7,FALSE)</f>
        <v/>
      </c>
      <c r="R55" s="198" t="str">
        <f>VLOOKUP($B55,'Standards Crosswalk'!$A1:$H321,8,FALSE)</f>
        <v/>
      </c>
      <c r="S55" s="198" t="str">
        <f>VLOOKUP($B55,'Standards Crosswalk'!$A1:$I321,9,FALSE)</f>
        <v/>
      </c>
      <c r="T55" s="181"/>
      <c r="U55" s="181"/>
      <c r="V55" s="181"/>
      <c r="W55" s="181"/>
      <c r="X55" s="181"/>
      <c r="Y55" s="181"/>
      <c r="Z55" s="6"/>
    </row>
    <row r="56" ht="86.25" customHeight="1">
      <c r="A56" s="334">
        <f t="shared" si="7"/>
        <v>54</v>
      </c>
      <c r="B56" s="335" t="s">
        <v>257</v>
      </c>
      <c r="C56" s="336" t="str">
        <f>VLOOKUP(B56,'HECVAT - Full'!A1:E312,2,FALSE)</f>
        <v>Will any external authentication or authorization system be utilized by an application with access to the institution's data?</v>
      </c>
      <c r="D56" s="339" t="str">
        <f>VLOOKUP(B56,'HECVAT - Full'!A1:E312,4,FALSE)</f>
        <v>Our system supports and requires Google SSO</v>
      </c>
      <c r="E56" s="337" t="b">
        <f t="shared" si="8"/>
        <v>0</v>
      </c>
      <c r="F56" s="357" t="s">
        <v>3120</v>
      </c>
      <c r="G56" s="335" t="s">
        <v>85</v>
      </c>
      <c r="H56" s="338">
        <f>IF(I55="Yes",1,0)</f>
        <v>1</v>
      </c>
      <c r="I56" s="336" t="str">
        <f>VLOOKUP(B56,'HECVAT - Full'!A1:E312,3,FALSE)</f>
        <v>Yes</v>
      </c>
      <c r="J56" s="181">
        <f t="shared" si="22"/>
        <v>0</v>
      </c>
      <c r="K56" s="198">
        <f t="shared" ref="K56:K59" si="25">IF(H56=1,20,"")</f>
        <v>20</v>
      </c>
      <c r="L56" s="198">
        <f t="shared" si="6"/>
        <v>0</v>
      </c>
      <c r="M56" s="198" t="str">
        <f>VLOOKUP($B56,'Standards Crosswalk'!$A1:$H321,3,FALSE)</f>
        <v>CSC 16</v>
      </c>
      <c r="N56" s="198" t="str">
        <f>VLOOKUP($B56,'Standards Crosswalk'!$A1:$H321,4,FALSE)</f>
        <v/>
      </c>
      <c r="O56" s="198" t="str">
        <f>VLOOKUP($B56,'Standards Crosswalk'!$A1:$H321,5,FALSE)</f>
        <v>9</v>
      </c>
      <c r="P56" s="198" t="str">
        <f>VLOOKUP($B56,'Standards Crosswalk'!$A1:$H321,6,FALSE)</f>
        <v>PR.AC-1, PR.AC-4</v>
      </c>
      <c r="Q56" s="343" t="str">
        <f>VLOOKUP($B56,'Standards Crosswalk'!$A1:$H321,7,FALSE)</f>
        <v/>
      </c>
      <c r="R56" s="198" t="str">
        <f>VLOOKUP($B56,'Standards Crosswalk'!$A1:$H321,8,FALSE)</f>
        <v/>
      </c>
      <c r="S56" s="198" t="str">
        <f>VLOOKUP($B56,'Standards Crosswalk'!$A1:$I321,9,FALSE)</f>
        <v>8.x</v>
      </c>
      <c r="T56" s="181"/>
      <c r="U56" s="181"/>
      <c r="V56" s="181"/>
      <c r="W56" s="181"/>
      <c r="X56" s="181"/>
      <c r="Y56" s="181"/>
      <c r="Z56" s="6"/>
    </row>
    <row r="57" ht="86.25" customHeight="1">
      <c r="A57" s="334">
        <f t="shared" si="7"/>
        <v>55</v>
      </c>
      <c r="B57" s="335" t="s">
        <v>260</v>
      </c>
      <c r="C57" s="336" t="str">
        <f>VLOOKUP(B57,'HECVAT - Full'!A1:E312,2,FALSE)</f>
        <v>Does the system (servers/infrastructure) support external authentication services (e.g. Active Directory, LDAP) in place of local authentication?</v>
      </c>
      <c r="D57" s="339" t="str">
        <f>VLOOKUP(B57,'HECVAT - Full'!A1:E312,4,FALSE)</f>
        <v>Our system supports and requires Google SSO</v>
      </c>
      <c r="E57" s="337" t="b">
        <f t="shared" si="8"/>
        <v>0</v>
      </c>
      <c r="F57" s="357" t="s">
        <v>3120</v>
      </c>
      <c r="G57" s="335" t="s">
        <v>90</v>
      </c>
      <c r="H57" s="338">
        <v>1.0</v>
      </c>
      <c r="I57" s="336" t="str">
        <f>VLOOKUP(B57,'HECVAT - Full'!A1:E312,3,FALSE)</f>
        <v>Yes</v>
      </c>
      <c r="J57" s="181">
        <f t="shared" si="22"/>
        <v>1</v>
      </c>
      <c r="K57" s="181">
        <f t="shared" si="25"/>
        <v>20</v>
      </c>
      <c r="L57" s="181">
        <f t="shared" si="6"/>
        <v>20</v>
      </c>
      <c r="M57" s="198" t="str">
        <f>VLOOKUP($B57,'Standards Crosswalk'!$A1:$H321,3,FALSE)</f>
        <v>CSC 16</v>
      </c>
      <c r="N57" s="198" t="str">
        <f>VLOOKUP($B57,'Standards Crosswalk'!$A1:$H321,4,FALSE)</f>
        <v/>
      </c>
      <c r="O57" s="198" t="str">
        <f>VLOOKUP($B57,'Standards Crosswalk'!$A1:$H321,5,FALSE)</f>
        <v>9.4.3</v>
      </c>
      <c r="P57" s="198" t="str">
        <f>VLOOKUP($B57,'Standards Crosswalk'!$A1:$H321,6,FALSE)</f>
        <v>PR.AC-1, PR.AC-4</v>
      </c>
      <c r="Q57" s="343" t="str">
        <f>VLOOKUP($B57,'Standards Crosswalk'!$A1:$H321,7,FALSE)</f>
        <v/>
      </c>
      <c r="R57" s="198" t="str">
        <f>VLOOKUP($B57,'Standards Crosswalk'!$A1:$H321,8,FALSE)</f>
        <v/>
      </c>
      <c r="S57" s="198" t="str">
        <f>VLOOKUP($B57,'Standards Crosswalk'!$A1:$I321,9,FALSE)</f>
        <v/>
      </c>
      <c r="T57" s="181"/>
      <c r="U57" s="181"/>
      <c r="V57" s="181"/>
      <c r="W57" s="181"/>
      <c r="X57" s="181"/>
      <c r="Y57" s="181"/>
      <c r="Z57" s="6"/>
    </row>
    <row r="58" ht="73.5" customHeight="1">
      <c r="A58" s="334">
        <f t="shared" si="7"/>
        <v>56</v>
      </c>
      <c r="B58" s="335" t="s">
        <v>262</v>
      </c>
      <c r="C58" s="336" t="str">
        <f>VLOOKUP(B58,'HECVAT - Full'!A1:E312,2,FALSE)</f>
        <v>Does the system operate in a mixed authentication mode (i.e. external and local authentication)?</v>
      </c>
      <c r="D58" s="339" t="str">
        <f>VLOOKUP(B58,'HECVAT - Full'!A1:E312,4,FALSE)</f>
        <v>We don't use SQL or other services where this is recommended or even possible.</v>
      </c>
      <c r="E58" s="337" t="b">
        <f t="shared" si="8"/>
        <v>0</v>
      </c>
      <c r="F58" s="357" t="s">
        <v>3120</v>
      </c>
      <c r="G58" s="335" t="s">
        <v>85</v>
      </c>
      <c r="H58" s="338">
        <f>IF(I57="Yes",1,0)</f>
        <v>1</v>
      </c>
      <c r="I58" s="336" t="str">
        <f>VLOOKUP(B58,'HECVAT - Full'!A1:E312,3,FALSE)</f>
        <v>No</v>
      </c>
      <c r="J58" s="181">
        <f t="shared" si="22"/>
        <v>1</v>
      </c>
      <c r="K58" s="198">
        <f t="shared" si="25"/>
        <v>20</v>
      </c>
      <c r="L58" s="198">
        <f t="shared" si="6"/>
        <v>20</v>
      </c>
      <c r="M58" s="198" t="str">
        <f>VLOOKUP($B58,'Standards Crosswalk'!$A1:$H321,3,FALSE)</f>
        <v>CSC 16</v>
      </c>
      <c r="N58" s="198" t="str">
        <f>VLOOKUP($B58,'Standards Crosswalk'!$A1:$H321,4,FALSE)</f>
        <v/>
      </c>
      <c r="O58" s="198" t="str">
        <f>VLOOKUP($B58,'Standards Crosswalk'!$A1:$H321,5,FALSE)</f>
        <v/>
      </c>
      <c r="P58" s="198" t="str">
        <f>VLOOKUP($B58,'Standards Crosswalk'!$A1:$H321,6,FALSE)</f>
        <v>PR.AC-1, PR.AC-4</v>
      </c>
      <c r="Q58" s="343" t="str">
        <f>VLOOKUP($B58,'Standards Crosswalk'!$A1:$H321,7,FALSE)</f>
        <v/>
      </c>
      <c r="R58" s="198" t="str">
        <f>VLOOKUP($B58,'Standards Crosswalk'!$A1:$H321,8,FALSE)</f>
        <v/>
      </c>
      <c r="S58" s="198" t="str">
        <f>VLOOKUP($B58,'Standards Crosswalk'!$A1:$I321,9,FALSE)</f>
        <v/>
      </c>
      <c r="T58" s="181"/>
      <c r="U58" s="181"/>
      <c r="V58" s="181"/>
      <c r="W58" s="181"/>
      <c r="X58" s="181"/>
      <c r="Y58" s="181"/>
      <c r="Z58" s="6"/>
    </row>
    <row r="59" ht="73.5" customHeight="1">
      <c r="A59" s="334">
        <f t="shared" si="7"/>
        <v>57</v>
      </c>
      <c r="B59" s="335" t="s">
        <v>265</v>
      </c>
      <c r="C59" s="336" t="str">
        <f>VLOOKUP(B59,'HECVAT - Full'!A1:E312,2,FALSE)</f>
        <v>Will any external authentication or authorization system be utilized by a system with access to institution data?</v>
      </c>
      <c r="D59" s="339" t="str">
        <f>VLOOKUP(B59,'HECVAT - Full'!A1:E312,4,FALSE)</f>
        <v>Our system supports and requires Google SSO</v>
      </c>
      <c r="E59" s="337" t="b">
        <f t="shared" si="8"/>
        <v>0</v>
      </c>
      <c r="F59" s="357" t="s">
        <v>3120</v>
      </c>
      <c r="G59" s="335" t="s">
        <v>85</v>
      </c>
      <c r="H59" s="338">
        <f>IF(I57="Yes",1,0)</f>
        <v>1</v>
      </c>
      <c r="I59" s="336" t="str">
        <f>VLOOKUP(B59,'HECVAT - Full'!A1:E312,3,FALSE)</f>
        <v>Yes</v>
      </c>
      <c r="J59" s="181">
        <f t="shared" si="22"/>
        <v>0</v>
      </c>
      <c r="K59" s="198">
        <f t="shared" si="25"/>
        <v>20</v>
      </c>
      <c r="L59" s="198">
        <f t="shared" si="6"/>
        <v>0</v>
      </c>
      <c r="M59" s="198" t="str">
        <f>VLOOKUP($B59,'Standards Crosswalk'!$A1:$H321,3,FALSE)</f>
        <v>CSC 16</v>
      </c>
      <c r="N59" s="198" t="str">
        <f>VLOOKUP($B59,'Standards Crosswalk'!$A1:$H321,4,FALSE)</f>
        <v/>
      </c>
      <c r="O59" s="198" t="str">
        <f>VLOOKUP($B59,'Standards Crosswalk'!$A1:$H321,5,FALSE)</f>
        <v/>
      </c>
      <c r="P59" s="198" t="str">
        <f>VLOOKUP($B59,'Standards Crosswalk'!$A1:$H321,6,FALSE)</f>
        <v>PR.AC-1, PR.AC-4</v>
      </c>
      <c r="Q59" s="198" t="str">
        <f>VLOOKUP($B59,'Standards Crosswalk'!$A1:$H321,7,FALSE)</f>
        <v>3.1.1</v>
      </c>
      <c r="R59" s="198" t="str">
        <f>VLOOKUP($B59,'Standards Crosswalk'!$A1:$H321,8,FALSE)</f>
        <v/>
      </c>
      <c r="S59" s="198" t="str">
        <f>VLOOKUP($B59,'Standards Crosswalk'!$A1:$I321,9,FALSE)</f>
        <v>8.x</v>
      </c>
      <c r="T59" s="181"/>
      <c r="U59" s="181"/>
      <c r="V59" s="181"/>
      <c r="W59" s="181"/>
      <c r="X59" s="181"/>
      <c r="Y59" s="181"/>
      <c r="Z59" s="6"/>
    </row>
    <row r="60" ht="73.5" customHeight="1">
      <c r="A60" s="334">
        <f t="shared" si="7"/>
        <v>58</v>
      </c>
      <c r="B60" s="335" t="s">
        <v>267</v>
      </c>
      <c r="C60" s="336" t="str">
        <f>VLOOKUP(B60,'HECVAT - Full'!A1:E312,2,FALSE)</f>
        <v>Are audit logs available that include AT LEAST all of the following; login, logout, actions performed, and source IP address?</v>
      </c>
      <c r="D60" s="339" t="str">
        <f>VLOOKUP(B60,'HECVAT - Full'!A1:E312,4,FALSE)</f>
        <v>All customers can access these logs via their customer portals. The 100 most recent logs are saved for the customer. More logs are stored by LTIAAS for 7 days.</v>
      </c>
      <c r="E60" s="337" t="b">
        <f t="shared" si="8"/>
        <v>1</v>
      </c>
      <c r="F60" s="357" t="s">
        <v>3120</v>
      </c>
      <c r="G60" s="335" t="s">
        <v>90</v>
      </c>
      <c r="H60" s="338">
        <v>1.0</v>
      </c>
      <c r="I60" s="336" t="str">
        <f>VLOOKUP(B60,'HECVAT - Full'!A1:E312,3,FALSE)</f>
        <v>Yes</v>
      </c>
      <c r="J60" s="181">
        <f t="shared" si="22"/>
        <v>1</v>
      </c>
      <c r="K60" s="181">
        <f t="shared" ref="K60:K61" si="26">IF(H60=1,25,"")</f>
        <v>25</v>
      </c>
      <c r="L60" s="181">
        <f t="shared" si="6"/>
        <v>25</v>
      </c>
      <c r="M60" s="198" t="str">
        <f>VLOOKUP($B60,'Standards Crosswalk'!$A1:$H321,3,FALSE)</f>
        <v>CSC 6</v>
      </c>
      <c r="N60" s="198" t="str">
        <f>VLOOKUP($B60,'Standards Crosswalk'!$A1:$H321,4,FALSE)</f>
        <v/>
      </c>
      <c r="O60" s="198" t="str">
        <f>VLOOKUP($B60,'Standards Crosswalk'!$A1:$H321,5,FALSE)</f>
        <v>12.4</v>
      </c>
      <c r="P60" s="198" t="str">
        <f>VLOOKUP($B60,'Standards Crosswalk'!$A1:$H321,6,FALSE)</f>
        <v>PR.PT-1</v>
      </c>
      <c r="Q60" s="198" t="str">
        <f>VLOOKUP($B60,'Standards Crosswalk'!$A1:$H321,7,FALSE)</f>
        <v>3.1.7, 3.3.1</v>
      </c>
      <c r="R60" s="198" t="str">
        <f>VLOOKUP($B60,'Standards Crosswalk'!$A1:$H321,8,FALSE)</f>
        <v>AC-6(1,3,9), AU-2, AU-2(3), AU-3, AU-7, AU-9(4), AU-12, NIST 800-92</v>
      </c>
      <c r="S60" s="198" t="str">
        <f>VLOOKUP($B60,'Standards Crosswalk'!$A1:$I321,9,FALSE)</f>
        <v>10.1, 10.2, 10.3, 10.5, 10.6, 10.7</v>
      </c>
      <c r="T60" s="181"/>
      <c r="U60" s="181"/>
      <c r="V60" s="181"/>
      <c r="W60" s="181"/>
      <c r="X60" s="181"/>
      <c r="Y60" s="181"/>
      <c r="Z60" s="6"/>
    </row>
    <row r="61" ht="73.5" customHeight="1">
      <c r="A61" s="334">
        <f t="shared" si="7"/>
        <v>59</v>
      </c>
      <c r="B61" s="335" t="s">
        <v>270</v>
      </c>
      <c r="C61" s="336" t="str">
        <f>VLOOKUP(B61,'HECVAT - Full'!A1:E312,2,FALSE)</f>
        <v>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v>
      </c>
      <c r="D61" s="334" t="str">
        <f>VLOOKUP(B61,'HECVAT - Full'!A1:E312,4,FALSE)</f>
        <v/>
      </c>
      <c r="E61" s="337" t="b">
        <f t="shared" si="8"/>
        <v>1</v>
      </c>
      <c r="F61" s="357" t="s">
        <v>3120</v>
      </c>
      <c r="G61" s="335" t="s">
        <v>85</v>
      </c>
      <c r="H61" s="338">
        <v>1.0</v>
      </c>
      <c r="I61" s="336" t="str">
        <f>VLOOKUP(B61,'HECVAT - Full'!A1:E312,3,FALSE)</f>
        <v>All events that take place on our systems are logged via a Google Cloud's logging service. All access logs are stored in Google Cloud as well. This includes audit logs of user authentications.</v>
      </c>
      <c r="J61" s="181">
        <f>IF(VLOOKUP(B61,'Analyst Report'!$A$41:$G$88,7,FALSE)="Yes",1,0)</f>
        <v>0</v>
      </c>
      <c r="K61" s="181">
        <f t="shared" si="26"/>
        <v>25</v>
      </c>
      <c r="L61" s="181">
        <f t="shared" si="6"/>
        <v>0</v>
      </c>
      <c r="M61" s="198" t="str">
        <f>VLOOKUP($B61,'Standards Crosswalk'!$A1:$H321,3,FALSE)</f>
        <v>CSC 6</v>
      </c>
      <c r="N61" s="198" t="str">
        <f>VLOOKUP($B61,'Standards Crosswalk'!$A1:$H321,4,FALSE)</f>
        <v/>
      </c>
      <c r="O61" s="198" t="str">
        <f>VLOOKUP($B61,'Standards Crosswalk'!$A1:$H321,5,FALSE)</f>
        <v>12.4</v>
      </c>
      <c r="P61" s="198" t="str">
        <f>VLOOKUP($B61,'Standards Crosswalk'!$A1:$H321,6,FALSE)</f>
        <v>PR.PT-1</v>
      </c>
      <c r="Q61" s="198" t="str">
        <f>VLOOKUP($B61,'Standards Crosswalk'!$A1:$H321,7,FALSE)</f>
        <v>3.1.7, 3.3.2, 3.3.3, 3.3.4, 3.3.5, 3.4.3, 3.7.1, 3.7.6, 3.10.4, 3.10.5</v>
      </c>
      <c r="R61" s="198" t="str">
        <f>VLOOKUP($B61,'Standards Crosswalk'!$A1:$H321,8,FALSE)</f>
        <v>AU-2(3), AU-6, AU-12, AC-6(9), CM-3, MA-2, MA-5, PE-3</v>
      </c>
      <c r="S61" s="198" t="str">
        <f>VLOOKUP($B61,'Standards Crosswalk'!$A1:$I321,9,FALSE)</f>
        <v>10.1, 10.2, 10.3, 10.5, 10.6, 10.7, 9.x</v>
      </c>
      <c r="T61" s="181"/>
      <c r="U61" s="181"/>
      <c r="V61" s="181"/>
      <c r="W61" s="181"/>
      <c r="X61" s="181"/>
      <c r="Y61" s="181"/>
      <c r="Z61" s="6"/>
    </row>
    <row r="62" ht="86.25" customHeight="1">
      <c r="A62" s="334">
        <f t="shared" si="7"/>
        <v>60</v>
      </c>
      <c r="B62" s="335" t="s">
        <v>274</v>
      </c>
      <c r="C62" s="336" t="str">
        <f>VLOOKUP(B62,'HECVAT - Full'!A1:E312,2,FALSE)</f>
        <v>Describe or provide a reference to the retention period for those logs, how logs are protected, and whether they are accessible to the customer (and if so, how).</v>
      </c>
      <c r="D62" s="334" t="str">
        <f>VLOOKUP(B62,'HECVAT - Full'!A1:E312,4,FALSE)</f>
        <v/>
      </c>
      <c r="E62" s="337" t="b">
        <f t="shared" si="8"/>
        <v>0</v>
      </c>
      <c r="F62" s="357" t="s">
        <v>3120</v>
      </c>
      <c r="G62" s="335" t="s">
        <v>90</v>
      </c>
      <c r="H62" s="338">
        <v>1.0</v>
      </c>
      <c r="I62" s="336" t="str">
        <f>VLOOKUP(B62,'HECVAT - Full'!A1:E312,3,FALSE)</f>
        <v>All logs are retained for 7 days. The only logs that are accessible to the customer are logs pertaining to their specific API instance. These logs can only be accessed via the customer portal.</v>
      </c>
      <c r="J62" s="181">
        <f>IF(G62=I62,1,0)</f>
        <v>0</v>
      </c>
      <c r="K62" s="181">
        <f>IF(H62=1,20,"")</f>
        <v>20</v>
      </c>
      <c r="L62" s="181">
        <f t="shared" si="6"/>
        <v>0</v>
      </c>
      <c r="M62" s="198" t="str">
        <f>VLOOKUP($B62,'Standards Crosswalk'!$A1:$H321,3,FALSE)</f>
        <v>CSC 6</v>
      </c>
      <c r="N62" s="198" t="str">
        <f>VLOOKUP($B62,'Standards Crosswalk'!$A1:$H321,4,FALSE)</f>
        <v/>
      </c>
      <c r="O62" s="198" t="str">
        <f>VLOOKUP($B62,'Standards Crosswalk'!$A1:$H321,5,FALSE)</f>
        <v>12.4</v>
      </c>
      <c r="P62" s="198" t="str">
        <f>VLOOKUP($B62,'Standards Crosswalk'!$A1:$H321,6,FALSE)</f>
        <v>PR.PT-1</v>
      </c>
      <c r="Q62" s="198" t="str">
        <f>VLOOKUP($B62,'Standards Crosswalk'!$A1:$H321,7,FALSE)</f>
        <v>3.3.8, 3.3.9</v>
      </c>
      <c r="R62" s="198" t="str">
        <f>VLOOKUP($B62,'Standards Crosswalk'!$A1:$H321,8,FALSE)</f>
        <v>AU-9</v>
      </c>
      <c r="S62" s="343">
        <f>VLOOKUP($B62,'Standards Crosswalk'!$A1:$I321,9,FALSE)</f>
        <v>10.7</v>
      </c>
      <c r="T62" s="181"/>
      <c r="U62" s="181"/>
      <c r="V62" s="181"/>
      <c r="W62" s="181"/>
      <c r="X62" s="181"/>
      <c r="Y62" s="181"/>
      <c r="Z62" s="6"/>
    </row>
    <row r="63" ht="57.75" customHeight="1">
      <c r="A63" s="334">
        <f t="shared" si="7"/>
        <v>61</v>
      </c>
      <c r="B63" s="335" t="s">
        <v>278</v>
      </c>
      <c r="C63" s="336" t="str">
        <f>VLOOKUP(B63,'HECVAT - Full'!A1:E312,2,FALSE)</f>
        <v>Describe or provide a reference to your Business Continuity Plan (BCP).</v>
      </c>
      <c r="D63" s="334" t="str">
        <f>VLOOKUP(B63,'HECVAT - Full'!A1:E312,4,FALSE)</f>
        <v/>
      </c>
      <c r="E63" s="337" t="b">
        <f t="shared" si="8"/>
        <v>1</v>
      </c>
      <c r="F63" s="357" t="s">
        <v>3136</v>
      </c>
      <c r="G63" s="335" t="s">
        <v>90</v>
      </c>
      <c r="H63" s="338">
        <v>1.0</v>
      </c>
      <c r="I63" s="336" t="str">
        <f>VLOOKUP(B63,'HECVAT - Full'!A1:E312,3,FALSE)</f>
        <v>Available Under NDA
Last Reviewed: Feb. 15, 2021
Table Of Contents:
  1. Program Administration
  1.1 Purpose
  1.2 Prioritized Business Functions and Recovery Plans
  2. Notification &amp; Activation
  3. External Vendors
  4. Internal Responsibilities
  5. Relocation &amp; Recovery Operations
  6. Review and Testing
  7. Plan Deactivation
  8. Assumptions
  9. Additional Comments</v>
      </c>
      <c r="J63" s="181">
        <f>IF(VLOOKUP(B63,'Analyst Report'!$A$41:$G$88,7,FALSE)="Yes",1,0)</f>
        <v>0</v>
      </c>
      <c r="K63" s="181">
        <f>IF(H63=1,25,"")</f>
        <v>25</v>
      </c>
      <c r="L63" s="181">
        <f t="shared" si="6"/>
        <v>0</v>
      </c>
      <c r="M63" s="198" t="str">
        <f>VLOOKUP($B63,'Standards Crosswalk'!$A1:$H321,3,FALSE)</f>
        <v>CSC 10</v>
      </c>
      <c r="N63" s="198" t="str">
        <f>VLOOKUP($B63,'Standards Crosswalk'!$A1:$H321,4,FALSE)</f>
        <v/>
      </c>
      <c r="O63" s="198" t="str">
        <f>VLOOKUP($B63,'Standards Crosswalk'!$A1:$H321,5,FALSE)</f>
        <v>17.1.1</v>
      </c>
      <c r="P63" s="198" t="str">
        <f>VLOOKUP($B63,'Standards Crosswalk'!$A1:$H321,6,FALSE)</f>
        <v>PR.IP-9</v>
      </c>
      <c r="Q63" s="198" t="str">
        <f>VLOOKUP($B63,'Standards Crosswalk'!$A1:$H321,7,FALSE)</f>
        <v>3.12.2</v>
      </c>
      <c r="R63" s="198" t="str">
        <f>VLOOKUP($B63,'Standards Crosswalk'!$A1:$H321,8,FALSE)</f>
        <v>AU-7, AU-9, IR-4, AC-5, CP-4, CP-10; NIST SP 800-34</v>
      </c>
      <c r="S63" s="343" t="str">
        <f>VLOOKUP($B63,'Standards Crosswalk'!$A1:$I321,9,FALSE)</f>
        <v/>
      </c>
      <c r="T63" s="181"/>
      <c r="U63" s="181"/>
      <c r="V63" s="181"/>
      <c r="W63" s="181"/>
      <c r="X63" s="181"/>
      <c r="Y63" s="181"/>
      <c r="Z63" s="6"/>
    </row>
    <row r="64" ht="43.5" customHeight="1">
      <c r="A64" s="334">
        <f t="shared" si="7"/>
        <v>62</v>
      </c>
      <c r="B64" s="335" t="s">
        <v>282</v>
      </c>
      <c r="C64" s="336" t="str">
        <f>VLOOKUP(B64,'HECVAT - Full'!A1:E312,2,FALSE)</f>
        <v>May the Institution review your BCP and supporting documentation?</v>
      </c>
      <c r="D64" s="339" t="str">
        <f>VLOOKUP(B64,'HECVAT - Full'!A1:E312,4,FALSE)</f>
        <v>Under NDA only.</v>
      </c>
      <c r="E64" s="337" t="b">
        <f t="shared" si="8"/>
        <v>0</v>
      </c>
      <c r="F64" s="357" t="s">
        <v>3136</v>
      </c>
      <c r="G64" s="335" t="s">
        <v>90</v>
      </c>
      <c r="H64" s="338">
        <v>1.0</v>
      </c>
      <c r="I64" s="336" t="str">
        <f>VLOOKUP(B64,'HECVAT - Full'!A1:E312,3,FALSE)</f>
        <v>Yes</v>
      </c>
      <c r="J64" s="181">
        <f t="shared" ref="J64:J75" si="27">IF(G64=I64,1,0)</f>
        <v>1</v>
      </c>
      <c r="K64" s="181">
        <f t="shared" ref="K64:K67" si="28">IF(H64=1,20,"")</f>
        <v>20</v>
      </c>
      <c r="L64" s="181">
        <f t="shared" si="6"/>
        <v>20</v>
      </c>
      <c r="M64" s="198" t="str">
        <f>VLOOKUP($B64,'Standards Crosswalk'!$A1:$H321,3,FALSE)</f>
        <v>CSC 10</v>
      </c>
      <c r="N64" s="198" t="str">
        <f>VLOOKUP($B64,'Standards Crosswalk'!$A1:$H321,4,FALSE)</f>
        <v/>
      </c>
      <c r="O64" s="198" t="str">
        <f>VLOOKUP($B64,'Standards Crosswalk'!$A1:$H321,5,FALSE)</f>
        <v/>
      </c>
      <c r="P64" s="198" t="str">
        <f>VLOOKUP($B64,'Standards Crosswalk'!$A1:$H321,6,FALSE)</f>
        <v>PR.IP-9</v>
      </c>
      <c r="Q64" s="198" t="str">
        <f>VLOOKUP($B64,'Standards Crosswalk'!$A1:$H321,7,FALSE)</f>
        <v>3.12.2</v>
      </c>
      <c r="R64" s="198" t="str">
        <f>VLOOKUP($B64,'Standards Crosswalk'!$A1:$H321,8,FALSE)</f>
        <v>AC-5, CP-4, CP-10; NIST SP 800-34</v>
      </c>
      <c r="S64" s="343" t="str">
        <f>VLOOKUP($B64,'Standards Crosswalk'!$A1:$I321,9,FALSE)</f>
        <v/>
      </c>
      <c r="T64" s="181"/>
      <c r="U64" s="181"/>
      <c r="V64" s="181"/>
      <c r="W64" s="181"/>
      <c r="X64" s="181"/>
      <c r="Y64" s="181"/>
      <c r="Z64" s="6"/>
    </row>
    <row r="65" ht="57.75" customHeight="1">
      <c r="A65" s="334">
        <f t="shared" si="7"/>
        <v>63</v>
      </c>
      <c r="B65" s="335" t="s">
        <v>285</v>
      </c>
      <c r="C65" s="336" t="str">
        <f>VLOOKUP(B65,'HECVAT - Full'!A1:E312,2,FALSE)</f>
        <v>Is an owner assigned who is responsible for the maintenance and review of the Business Continuity Plan?</v>
      </c>
      <c r="D65" s="358" t="str">
        <f>VLOOKUP(B65,'HECVAT - Full'!A1:E312,4,FALSE)</f>
        <v/>
      </c>
      <c r="E65" s="337" t="b">
        <f t="shared" si="8"/>
        <v>0</v>
      </c>
      <c r="F65" s="357" t="s">
        <v>3136</v>
      </c>
      <c r="G65" s="335" t="s">
        <v>90</v>
      </c>
      <c r="H65" s="338">
        <v>1.0</v>
      </c>
      <c r="I65" s="336" t="str">
        <f>VLOOKUP(B65,'HECVAT - Full'!A1:E312,3,FALSE)</f>
        <v>Yes</v>
      </c>
      <c r="J65" s="181">
        <f t="shared" si="27"/>
        <v>1</v>
      </c>
      <c r="K65" s="181">
        <f t="shared" si="28"/>
        <v>20</v>
      </c>
      <c r="L65" s="181">
        <f t="shared" si="6"/>
        <v>20</v>
      </c>
      <c r="M65" s="198" t="str">
        <f>VLOOKUP($B65,'Standards Crosswalk'!$A1:$H321,3,FALSE)</f>
        <v>CSC 10</v>
      </c>
      <c r="N65" s="198" t="str">
        <f>VLOOKUP($B65,'Standards Crosswalk'!$A1:$H321,4,FALSE)</f>
        <v/>
      </c>
      <c r="O65" s="198" t="str">
        <f>VLOOKUP($B65,'Standards Crosswalk'!$A1:$H321,5,FALSE)</f>
        <v>17.1.1</v>
      </c>
      <c r="P65" s="198" t="str">
        <f>VLOOKUP($B65,'Standards Crosswalk'!$A1:$H321,6,FALSE)</f>
        <v>PR.IP-9</v>
      </c>
      <c r="Q65" s="198" t="str">
        <f>VLOOKUP($B65,'Standards Crosswalk'!$A1:$H321,7,FALSE)</f>
        <v>3.12.2</v>
      </c>
      <c r="R65" s="198" t="str">
        <f>VLOOKUP($B65,'Standards Crosswalk'!$A1:$H321,8,FALSE)</f>
        <v>AU-7, AU-9, IR-4, AC-5, CP-4, CP-10; NIST SP 800-34</v>
      </c>
      <c r="S65" s="343" t="str">
        <f>VLOOKUP($B65,'Standards Crosswalk'!$A1:$I321,9,FALSE)</f>
        <v/>
      </c>
      <c r="T65" s="181"/>
      <c r="U65" s="181"/>
      <c r="V65" s="181"/>
      <c r="W65" s="181"/>
      <c r="X65" s="181"/>
      <c r="Y65" s="181"/>
      <c r="Z65" s="6"/>
    </row>
    <row r="66" ht="57.75" customHeight="1">
      <c r="A66" s="334">
        <f t="shared" si="7"/>
        <v>64</v>
      </c>
      <c r="B66" s="335" t="s">
        <v>287</v>
      </c>
      <c r="C66" s="336" t="str">
        <f>VLOOKUP(B66,'HECVAT - Full'!A1:E312,2,FALSE)</f>
        <v>Is there a defined problem/issue escalation plan in your BCP for impacted clients?</v>
      </c>
      <c r="D66" s="358" t="str">
        <f>VLOOKUP(B66,'HECVAT - Full'!A1:E312,4,FALSE)</f>
        <v/>
      </c>
      <c r="E66" s="337" t="b">
        <f t="shared" si="8"/>
        <v>0</v>
      </c>
      <c r="F66" s="357" t="s">
        <v>3136</v>
      </c>
      <c r="G66" s="335" t="s">
        <v>90</v>
      </c>
      <c r="H66" s="338">
        <v>1.0</v>
      </c>
      <c r="I66" s="336" t="str">
        <f>VLOOKUP(B66,'HECVAT - Full'!A1:E312,3,FALSE)</f>
        <v>Yes</v>
      </c>
      <c r="J66" s="181">
        <f t="shared" si="27"/>
        <v>1</v>
      </c>
      <c r="K66" s="181">
        <f t="shared" si="28"/>
        <v>20</v>
      </c>
      <c r="L66" s="181">
        <f t="shared" si="6"/>
        <v>20</v>
      </c>
      <c r="M66" s="198" t="str">
        <f>VLOOKUP($B66,'Standards Crosswalk'!$A1:$H321,3,FALSE)</f>
        <v>CSC 10</v>
      </c>
      <c r="N66" s="198" t="str">
        <f>VLOOKUP($B66,'Standards Crosswalk'!$A1:$H321,4,FALSE)</f>
        <v/>
      </c>
      <c r="O66" s="198" t="str">
        <f>VLOOKUP($B66,'Standards Crosswalk'!$A1:$H321,5,FALSE)</f>
        <v>17</v>
      </c>
      <c r="P66" s="198" t="str">
        <f>VLOOKUP($B66,'Standards Crosswalk'!$A1:$H321,6,FALSE)</f>
        <v>PR.IP-9</v>
      </c>
      <c r="Q66" s="198" t="str">
        <f>VLOOKUP($B66,'Standards Crosswalk'!$A1:$H321,7,FALSE)</f>
        <v>3.12.2</v>
      </c>
      <c r="R66" s="198" t="str">
        <f>VLOOKUP($B66,'Standards Crosswalk'!$A1:$H321,8,FALSE)</f>
        <v>AU-7, AU-9, IR-4, AC-5, CP-4, CP-10; NIST SP 800-34</v>
      </c>
      <c r="S66" s="343" t="str">
        <f>VLOOKUP($B66,'Standards Crosswalk'!$A1:$I321,9,FALSE)</f>
        <v/>
      </c>
      <c r="T66" s="181"/>
      <c r="U66" s="181"/>
      <c r="V66" s="181"/>
      <c r="W66" s="181"/>
      <c r="X66" s="181"/>
      <c r="Y66" s="181"/>
      <c r="Z66" s="6"/>
    </row>
    <row r="67" ht="57.75" customHeight="1">
      <c r="A67" s="334">
        <f t="shared" si="7"/>
        <v>65</v>
      </c>
      <c r="B67" s="335" t="s">
        <v>289</v>
      </c>
      <c r="C67" s="336" t="str">
        <f>VLOOKUP(B67,'HECVAT - Full'!A1:E312,2,FALSE)</f>
        <v>Is there a documented communication plan in your BCP for impacted clients?</v>
      </c>
      <c r="D67" s="334" t="str">
        <f>VLOOKUP(B67,'HECVAT - Full'!A1:E312,4,FALSE)</f>
        <v>The BCP is designed to have minimal to no impact on customers. i.e. maintainging out SLA uptime agreement. In the even that this can't be met during a disaster, we have an email system in place. </v>
      </c>
      <c r="E67" s="337" t="b">
        <f t="shared" si="8"/>
        <v>0</v>
      </c>
      <c r="F67" s="357" t="s">
        <v>3136</v>
      </c>
      <c r="G67" s="335" t="s">
        <v>90</v>
      </c>
      <c r="H67" s="338">
        <v>1.0</v>
      </c>
      <c r="I67" s="336" t="str">
        <f>VLOOKUP(B67,'HECVAT - Full'!A1:E312,3,FALSE)</f>
        <v>Yes</v>
      </c>
      <c r="J67" s="181">
        <f t="shared" si="27"/>
        <v>1</v>
      </c>
      <c r="K67" s="181">
        <f t="shared" si="28"/>
        <v>20</v>
      </c>
      <c r="L67" s="181">
        <f t="shared" si="6"/>
        <v>20</v>
      </c>
      <c r="M67" s="198" t="str">
        <f>VLOOKUP($B67,'Standards Crosswalk'!$A1:$H321,3,FALSE)</f>
        <v>CSC 10</v>
      </c>
      <c r="N67" s="198" t="str">
        <f>VLOOKUP($B67,'Standards Crosswalk'!$A1:$H321,4,FALSE)</f>
        <v/>
      </c>
      <c r="O67" s="198" t="str">
        <f>VLOOKUP($B67,'Standards Crosswalk'!$A1:$H321,5,FALSE)</f>
        <v>17.1.2</v>
      </c>
      <c r="P67" s="198" t="str">
        <f>VLOOKUP($B67,'Standards Crosswalk'!$A1:$H321,6,FALSE)</f>
        <v>PR.IP-9</v>
      </c>
      <c r="Q67" s="198" t="str">
        <f>VLOOKUP($B67,'Standards Crosswalk'!$A1:$H321,7,FALSE)</f>
        <v>3.12.2</v>
      </c>
      <c r="R67" s="198" t="str">
        <f>VLOOKUP($B67,'Standards Crosswalk'!$A1:$H321,8,FALSE)</f>
        <v>AU-7, AU-9, IR-4, AC-5, CP-4, CP-10; NIST SP 800-34</v>
      </c>
      <c r="S67" s="343" t="str">
        <f>VLOOKUP($B67,'Standards Crosswalk'!$A1:$I321,9,FALSE)</f>
        <v/>
      </c>
      <c r="T67" s="181"/>
      <c r="U67" s="181"/>
      <c r="V67" s="181"/>
      <c r="W67" s="181"/>
      <c r="X67" s="181"/>
      <c r="Y67" s="181"/>
      <c r="Z67" s="6"/>
    </row>
    <row r="68" ht="57.75" customHeight="1">
      <c r="A68" s="334">
        <f t="shared" si="7"/>
        <v>66</v>
      </c>
      <c r="B68" s="335" t="s">
        <v>292</v>
      </c>
      <c r="C68" s="336" t="str">
        <f>VLOOKUP(B68,'HECVAT - Full'!A1:E312,2,FALSE)</f>
        <v>Are all components of the BCP reviewed at least annually and updated as needed to reflect change? </v>
      </c>
      <c r="D68" s="358" t="str">
        <f>VLOOKUP(B68,'HECVAT - Full'!A1:E312,4,FALSE)</f>
        <v/>
      </c>
      <c r="E68" s="337" t="b">
        <f t="shared" si="8"/>
        <v>1</v>
      </c>
      <c r="F68" s="357" t="s">
        <v>3136</v>
      </c>
      <c r="G68" s="335" t="s">
        <v>90</v>
      </c>
      <c r="H68" s="338">
        <v>1.0</v>
      </c>
      <c r="I68" s="336" t="str">
        <f>VLOOKUP(B68,'HECVAT - Full'!A1:E312,3,FALSE)</f>
        <v>Yes</v>
      </c>
      <c r="J68" s="181">
        <f t="shared" si="27"/>
        <v>1</v>
      </c>
      <c r="K68" s="181">
        <f t="shared" ref="K68:K69" si="29">IF(H68=1,25,"")</f>
        <v>25</v>
      </c>
      <c r="L68" s="181">
        <f t="shared" si="6"/>
        <v>25</v>
      </c>
      <c r="M68" s="198" t="str">
        <f>VLOOKUP($B68,'Standards Crosswalk'!$A1:$H321,3,FALSE)</f>
        <v>CSC 10</v>
      </c>
      <c r="N68" s="198" t="str">
        <f>VLOOKUP($B68,'Standards Crosswalk'!$A1:$H321,4,FALSE)</f>
        <v/>
      </c>
      <c r="O68" s="198" t="str">
        <f>VLOOKUP($B68,'Standards Crosswalk'!$A1:$H321,5,FALSE)</f>
        <v>17.1.2</v>
      </c>
      <c r="P68" s="198" t="str">
        <f>VLOOKUP($B68,'Standards Crosswalk'!$A1:$H321,6,FALSE)</f>
        <v>PR.IP-9</v>
      </c>
      <c r="Q68" s="198" t="str">
        <f>VLOOKUP($B68,'Standards Crosswalk'!$A1:$H321,7,FALSE)</f>
        <v>3.12.2</v>
      </c>
      <c r="R68" s="198" t="str">
        <f>VLOOKUP($B68,'Standards Crosswalk'!$A1:$H321,8,FALSE)</f>
        <v>AU-7, AU-9, IR-4, AC-5, CP-4, CP-10; NIST SP 800-34</v>
      </c>
      <c r="S68" s="343" t="str">
        <f>VLOOKUP($B68,'Standards Crosswalk'!$A1:$I321,9,FALSE)</f>
        <v/>
      </c>
      <c r="T68" s="181"/>
      <c r="U68" s="181"/>
      <c r="V68" s="181"/>
      <c r="W68" s="181"/>
      <c r="X68" s="181"/>
      <c r="Y68" s="181"/>
      <c r="Z68" s="6"/>
    </row>
    <row r="69" ht="57.75" customHeight="1">
      <c r="A69" s="334">
        <f t="shared" si="7"/>
        <v>67</v>
      </c>
      <c r="B69" s="335" t="s">
        <v>294</v>
      </c>
      <c r="C69" s="336" t="str">
        <f>VLOOKUP(B69,'HECVAT - Full'!A1:E312,2,FALSE)</f>
        <v>Has your BCP been tested in the last year? </v>
      </c>
      <c r="D69" s="358" t="str">
        <f>VLOOKUP(B69,'HECVAT - Full'!A1:E312,4,FALSE)</f>
        <v/>
      </c>
      <c r="E69" s="337" t="b">
        <f t="shared" si="8"/>
        <v>1</v>
      </c>
      <c r="F69" s="357" t="s">
        <v>3136</v>
      </c>
      <c r="G69" s="335" t="s">
        <v>90</v>
      </c>
      <c r="H69" s="338">
        <v>1.0</v>
      </c>
      <c r="I69" s="336" t="str">
        <f>VLOOKUP(B69,'HECVAT - Full'!A1:E312,3,FALSE)</f>
        <v>Yes</v>
      </c>
      <c r="J69" s="181">
        <f t="shared" si="27"/>
        <v>1</v>
      </c>
      <c r="K69" s="181">
        <f t="shared" si="29"/>
        <v>25</v>
      </c>
      <c r="L69" s="181">
        <f t="shared" si="6"/>
        <v>25</v>
      </c>
      <c r="M69" s="198" t="str">
        <f>VLOOKUP($B69,'Standards Crosswalk'!$A1:$H321,3,FALSE)</f>
        <v>CSC 10</v>
      </c>
      <c r="N69" s="198" t="str">
        <f>VLOOKUP($B69,'Standards Crosswalk'!$A1:$H321,4,FALSE)</f>
        <v/>
      </c>
      <c r="O69" s="198" t="str">
        <f>VLOOKUP($B69,'Standards Crosswalk'!$A1:$H321,5,FALSE)</f>
        <v>17.1.3</v>
      </c>
      <c r="P69" s="198" t="str">
        <f>VLOOKUP($B69,'Standards Crosswalk'!$A1:$H321,6,FALSE)</f>
        <v>PR.IP-9</v>
      </c>
      <c r="Q69" s="198" t="str">
        <f>VLOOKUP($B69,'Standards Crosswalk'!$A1:$H321,7,FALSE)</f>
        <v>3.12.2</v>
      </c>
      <c r="R69" s="198" t="str">
        <f>VLOOKUP($B69,'Standards Crosswalk'!$A1:$H321,8,FALSE)</f>
        <v>AU-7, AU-9, IR-4, AC-5, CP-4, CP-10; NIST SP 800-34</v>
      </c>
      <c r="S69" s="343" t="str">
        <f>VLOOKUP($B69,'Standards Crosswalk'!$A1:$I321,9,FALSE)</f>
        <v/>
      </c>
      <c r="T69" s="181"/>
      <c r="U69" s="181"/>
      <c r="V69" s="181"/>
      <c r="W69" s="181"/>
      <c r="X69" s="181"/>
      <c r="Y69" s="181"/>
      <c r="Z69" s="6"/>
    </row>
    <row r="70" ht="72.0" customHeight="1">
      <c r="A70" s="334">
        <f t="shared" si="7"/>
        <v>68</v>
      </c>
      <c r="B70" s="335" t="s">
        <v>296</v>
      </c>
      <c r="C70" s="336" t="str">
        <f>VLOOKUP(B70,'HECVAT - Full'!A1:E312,2,FALSE)</f>
        <v>Does your organization conduct training and awareness activities to validate its employees understanding of their roles and responsibilities during a crisis?</v>
      </c>
      <c r="D70" s="358" t="str">
        <f>VLOOKUP(B70,'HECVAT - Full'!A1:E312,4,FALSE)</f>
        <v/>
      </c>
      <c r="E70" s="337" t="b">
        <f t="shared" si="8"/>
        <v>0</v>
      </c>
      <c r="F70" s="357" t="s">
        <v>3136</v>
      </c>
      <c r="G70" s="335" t="s">
        <v>90</v>
      </c>
      <c r="H70" s="338">
        <v>1.0</v>
      </c>
      <c r="I70" s="336" t="str">
        <f>VLOOKUP(B70,'HECVAT - Full'!A1:E312,3,FALSE)</f>
        <v>Yes</v>
      </c>
      <c r="J70" s="181">
        <f t="shared" si="27"/>
        <v>1</v>
      </c>
      <c r="K70" s="181">
        <f t="shared" ref="K70:K72" si="30">IF(H70=1,20,"")</f>
        <v>20</v>
      </c>
      <c r="L70" s="181">
        <f t="shared" si="6"/>
        <v>20</v>
      </c>
      <c r="M70" s="198" t="str">
        <f>VLOOKUP($B70,'Standards Crosswalk'!$A1:$H321,3,FALSE)</f>
        <v>CSC 10</v>
      </c>
      <c r="N70" s="198" t="str">
        <f>VLOOKUP($B70,'Standards Crosswalk'!$A1:$H321,4,FALSE)</f>
        <v/>
      </c>
      <c r="O70" s="198" t="str">
        <f>VLOOKUP($B70,'Standards Crosswalk'!$A1:$H321,5,FALSE)</f>
        <v>7.2.2, 17.1.3</v>
      </c>
      <c r="P70" s="198" t="str">
        <f>VLOOKUP($B70,'Standards Crosswalk'!$A1:$H321,6,FALSE)</f>
        <v>PR.IP-9</v>
      </c>
      <c r="Q70" s="198" t="str">
        <f>VLOOKUP($B70,'Standards Crosswalk'!$A1:$H321,7,FALSE)</f>
        <v>3.2.1, 3.2.2</v>
      </c>
      <c r="R70" s="198" t="str">
        <f>VLOOKUP($B70,'Standards Crosswalk'!$A1:$H321,8,FALSE)</f>
        <v>AT-3, AC-5, CP-4, CP-10; NIST SP 800-34</v>
      </c>
      <c r="S70" s="198" t="str">
        <f>VLOOKUP($B70,'Standards Crosswalk'!$A1:$I321,9,FALSE)</f>
        <v>12.x</v>
      </c>
      <c r="T70" s="181"/>
      <c r="U70" s="181"/>
      <c r="V70" s="181"/>
      <c r="W70" s="181"/>
      <c r="X70" s="181"/>
      <c r="Y70" s="181"/>
      <c r="Z70" s="6"/>
    </row>
    <row r="71" ht="43.5" customHeight="1">
      <c r="A71" s="334">
        <f t="shared" si="7"/>
        <v>69</v>
      </c>
      <c r="B71" s="335" t="s">
        <v>298</v>
      </c>
      <c r="C71" s="336" t="str">
        <f>VLOOKUP(B71,'HECVAT - Full'!A1:E312,2,FALSE)</f>
        <v>Are specific crisis management roles and responsibilities defined and documented?</v>
      </c>
      <c r="D71" s="358" t="str">
        <f>VLOOKUP(B71,'HECVAT - Full'!A1:E312,4,FALSE)</f>
        <v/>
      </c>
      <c r="E71" s="337" t="b">
        <f t="shared" si="8"/>
        <v>0</v>
      </c>
      <c r="F71" s="357" t="s">
        <v>3136</v>
      </c>
      <c r="G71" s="335" t="s">
        <v>90</v>
      </c>
      <c r="H71" s="338">
        <v>1.0</v>
      </c>
      <c r="I71" s="336" t="str">
        <f>VLOOKUP(B71,'HECVAT - Full'!A1:E312,3,FALSE)</f>
        <v>Yes</v>
      </c>
      <c r="J71" s="181">
        <f t="shared" si="27"/>
        <v>1</v>
      </c>
      <c r="K71" s="181">
        <f t="shared" si="30"/>
        <v>20</v>
      </c>
      <c r="L71" s="181">
        <f t="shared" si="6"/>
        <v>20</v>
      </c>
      <c r="M71" s="198" t="str">
        <f>VLOOKUP($B71,'Standards Crosswalk'!$A1:$H321,3,FALSE)</f>
        <v>CSC 10</v>
      </c>
      <c r="N71" s="198" t="str">
        <f>VLOOKUP($B71,'Standards Crosswalk'!$A1:$H321,4,FALSE)</f>
        <v/>
      </c>
      <c r="O71" s="198" t="str">
        <f>VLOOKUP($B71,'Standards Crosswalk'!$A1:$H321,5,FALSE)</f>
        <v>7.2.2, 16.1.1, 17.1.3</v>
      </c>
      <c r="P71" s="198" t="str">
        <f>VLOOKUP($B71,'Standards Crosswalk'!$A1:$H321,6,FALSE)</f>
        <v>PR.IP-9</v>
      </c>
      <c r="Q71" s="343" t="str">
        <f>VLOOKUP($B71,'Standards Crosswalk'!$A1:$H321,7,FALSE)</f>
        <v/>
      </c>
      <c r="R71" s="198" t="str">
        <f>VLOOKUP($B71,'Standards Crosswalk'!$A1:$H321,8,FALSE)</f>
        <v>AC-5, CP-4, CP-10; NIST SP 800-34</v>
      </c>
      <c r="S71" s="198" t="str">
        <f>VLOOKUP($B71,'Standards Crosswalk'!$A1:$I321,9,FALSE)</f>
        <v>12.x</v>
      </c>
      <c r="T71" s="181"/>
      <c r="U71" s="181"/>
      <c r="V71" s="181"/>
      <c r="W71" s="181"/>
      <c r="X71" s="181"/>
      <c r="Y71" s="181"/>
      <c r="Z71" s="6"/>
    </row>
    <row r="72" ht="57.75" customHeight="1">
      <c r="A72" s="334">
        <f t="shared" si="7"/>
        <v>70</v>
      </c>
      <c r="B72" s="335" t="s">
        <v>300</v>
      </c>
      <c r="C72" s="336" t="str">
        <f>VLOOKUP(B72,'HECVAT - Full'!A1:E312,2,FALSE)</f>
        <v>Does your organization have an alternative business site or a contracted Business Recovery provider?</v>
      </c>
      <c r="D72" s="339" t="str">
        <f>VLOOKUP(B72,'HECVAT - Full'!A1:E312,4,FALSE)</f>
        <v>We are a work-from-home company. The alternate business site is virtual, i.e. a different cloud provider site.</v>
      </c>
      <c r="E72" s="337" t="b">
        <f t="shared" si="8"/>
        <v>0</v>
      </c>
      <c r="F72" s="357" t="s">
        <v>3136</v>
      </c>
      <c r="G72" s="335" t="s">
        <v>90</v>
      </c>
      <c r="H72" s="338">
        <v>1.0</v>
      </c>
      <c r="I72" s="336" t="str">
        <f>VLOOKUP(B72,'HECVAT - Full'!A1:E312,3,FALSE)</f>
        <v>Yes</v>
      </c>
      <c r="J72" s="181">
        <f t="shared" si="27"/>
        <v>1</v>
      </c>
      <c r="K72" s="181">
        <f t="shared" si="30"/>
        <v>20</v>
      </c>
      <c r="L72" s="181">
        <f t="shared" si="6"/>
        <v>20</v>
      </c>
      <c r="M72" s="198" t="str">
        <f>VLOOKUP($B72,'Standards Crosswalk'!$A1:$H321,3,FALSE)</f>
        <v>CSC 10</v>
      </c>
      <c r="N72" s="198" t="str">
        <f>VLOOKUP($B72,'Standards Crosswalk'!$A1:$H321,4,FALSE)</f>
        <v/>
      </c>
      <c r="O72" s="198" t="str">
        <f>VLOOKUP($B72,'Standards Crosswalk'!$A1:$H321,5,FALSE)</f>
        <v>17.2.1</v>
      </c>
      <c r="P72" s="198" t="str">
        <f>VLOOKUP($B72,'Standards Crosswalk'!$A1:$H321,6,FALSE)</f>
        <v>PR.IP-9</v>
      </c>
      <c r="Q72" s="343" t="str">
        <f>VLOOKUP($B72,'Standards Crosswalk'!$A1:$H321,7,FALSE)</f>
        <v/>
      </c>
      <c r="R72" s="198" t="str">
        <f>VLOOKUP($B72,'Standards Crosswalk'!$A1:$H321,8,FALSE)</f>
        <v>AC-5, CP-4, CP-10; NIST SP 800-34</v>
      </c>
      <c r="S72" s="343">
        <f>VLOOKUP($B72,'Standards Crosswalk'!$A1:$I321,9,FALSE)</f>
        <v>12.1</v>
      </c>
      <c r="T72" s="181"/>
      <c r="U72" s="181"/>
      <c r="V72" s="181"/>
      <c r="W72" s="181"/>
      <c r="X72" s="181"/>
      <c r="Y72" s="181"/>
      <c r="Z72" s="6"/>
    </row>
    <row r="73" ht="57.75" customHeight="1">
      <c r="A73" s="334">
        <f t="shared" si="7"/>
        <v>71</v>
      </c>
      <c r="B73" s="335" t="s">
        <v>303</v>
      </c>
      <c r="C73" s="336" t="str">
        <f>VLOOKUP(B73,'HECVAT - Full'!A1:E312,2,FALSE)</f>
        <v>Does your organization conduct an annual test of relocating to an alternate site for business recovery purposes?</v>
      </c>
      <c r="D73" s="358" t="str">
        <f>VLOOKUP(B73,'HECVAT - Full'!A1:E312,4,FALSE)</f>
        <v/>
      </c>
      <c r="E73" s="337" t="b">
        <f t="shared" si="8"/>
        <v>0</v>
      </c>
      <c r="F73" s="357" t="s">
        <v>3136</v>
      </c>
      <c r="G73" s="335" t="s">
        <v>90</v>
      </c>
      <c r="H73" s="338">
        <f>IF(I72="Yes",1,0)</f>
        <v>1</v>
      </c>
      <c r="I73" s="336" t="str">
        <f>VLOOKUP(B73,'HECVAT - Full'!A1:E312,3,FALSE)</f>
        <v>Yes</v>
      </c>
      <c r="J73" s="181">
        <f t="shared" si="27"/>
        <v>1</v>
      </c>
      <c r="K73" s="181">
        <v>20.0</v>
      </c>
      <c r="L73" s="181">
        <f t="shared" si="6"/>
        <v>20</v>
      </c>
      <c r="M73" s="198" t="str">
        <f>VLOOKUP($B73,'Standards Crosswalk'!$A1:$H321,3,FALSE)</f>
        <v>CSC 10</v>
      </c>
      <c r="N73" s="198" t="str">
        <f>VLOOKUP($B73,'Standards Crosswalk'!$A1:$H321,4,FALSE)</f>
        <v/>
      </c>
      <c r="O73" s="198" t="str">
        <f>VLOOKUP($B73,'Standards Crosswalk'!$A1:$H321,5,FALSE)</f>
        <v>17.1.3</v>
      </c>
      <c r="P73" s="198" t="str">
        <f>VLOOKUP($B73,'Standards Crosswalk'!$A1:$H321,6,FALSE)</f>
        <v>PR.IP-9</v>
      </c>
      <c r="Q73" s="343" t="str">
        <f>VLOOKUP($B73,'Standards Crosswalk'!$A1:$H321,7,FALSE)</f>
        <v/>
      </c>
      <c r="R73" s="198" t="str">
        <f>VLOOKUP($B73,'Standards Crosswalk'!$A1:$H321,8,FALSE)</f>
        <v>AC-5, CP-4, CP-10; NIST SP 800-34</v>
      </c>
      <c r="S73" s="343">
        <f>VLOOKUP($B73,'Standards Crosswalk'!$A1:$I321,9,FALSE)</f>
        <v>12.1</v>
      </c>
      <c r="T73" s="181"/>
      <c r="U73" s="181"/>
      <c r="V73" s="181"/>
      <c r="W73" s="181"/>
      <c r="X73" s="181"/>
      <c r="Y73" s="181"/>
      <c r="Z73" s="6"/>
    </row>
    <row r="74" ht="57.75" customHeight="1">
      <c r="A74" s="334">
        <f t="shared" si="7"/>
        <v>72</v>
      </c>
      <c r="B74" s="335" t="s">
        <v>305</v>
      </c>
      <c r="C74" s="336" t="str">
        <f>VLOOKUP(B74,'HECVAT - Full'!A1:E312,2,FALSE)</f>
        <v>Is this product a core service of your organization, and as such, the top priority during business continuity planning?</v>
      </c>
      <c r="D74" s="358" t="str">
        <f>VLOOKUP(B74,'HECVAT - Full'!A1:E312,4,FALSE)</f>
        <v/>
      </c>
      <c r="E74" s="337" t="b">
        <f t="shared" si="8"/>
        <v>0</v>
      </c>
      <c r="F74" s="357" t="s">
        <v>3136</v>
      </c>
      <c r="G74" s="335" t="s">
        <v>90</v>
      </c>
      <c r="H74" s="338">
        <v>1.0</v>
      </c>
      <c r="I74" s="336" t="str">
        <f>VLOOKUP(B74,'HECVAT - Full'!A1:E312,3,FALSE)</f>
        <v>Yes</v>
      </c>
      <c r="J74" s="181">
        <f t="shared" si="27"/>
        <v>1</v>
      </c>
      <c r="K74" s="181">
        <f>IF(H74=1,15,"")</f>
        <v>15</v>
      </c>
      <c r="L74" s="181">
        <f t="shared" si="6"/>
        <v>15</v>
      </c>
      <c r="M74" s="198" t="str">
        <f>VLOOKUP($B74,'Standards Crosswalk'!$A1:$H321,3,FALSE)</f>
        <v>CSC 10</v>
      </c>
      <c r="N74" s="198" t="str">
        <f>VLOOKUP($B74,'Standards Crosswalk'!$A1:$H321,4,FALSE)</f>
        <v/>
      </c>
      <c r="O74" s="198" t="str">
        <f>VLOOKUP($B74,'Standards Crosswalk'!$A1:$H321,5,FALSE)</f>
        <v/>
      </c>
      <c r="P74" s="198" t="str">
        <f>VLOOKUP($B74,'Standards Crosswalk'!$A1:$H321,6,FALSE)</f>
        <v>PR.IP-9</v>
      </c>
      <c r="Q74" s="343" t="str">
        <f>VLOOKUP($B74,'Standards Crosswalk'!$A1:$H321,7,FALSE)</f>
        <v/>
      </c>
      <c r="R74" s="198" t="str">
        <f>VLOOKUP($B74,'Standards Crosswalk'!$A1:$H321,8,FALSE)</f>
        <v>AC-5, CP-4, CP-10; NIST SP 800-34</v>
      </c>
      <c r="S74" s="343">
        <f>VLOOKUP($B74,'Standards Crosswalk'!$A1:$I321,9,FALSE)</f>
        <v>12.1</v>
      </c>
      <c r="T74" s="181"/>
      <c r="U74" s="181"/>
      <c r="V74" s="181"/>
      <c r="W74" s="181"/>
      <c r="X74" s="181"/>
      <c r="Y74" s="181"/>
      <c r="Z74" s="6"/>
    </row>
    <row r="75" ht="43.5" customHeight="1">
      <c r="A75" s="334">
        <f t="shared" si="7"/>
        <v>73</v>
      </c>
      <c r="B75" s="335" t="s">
        <v>307</v>
      </c>
      <c r="C75" s="336" t="str">
        <f>VLOOKUP(B75,'HECVAT - Full'!A1:E312,2,FALSE)</f>
        <v>Do you have a documented and currently followed change management process (CMP)? </v>
      </c>
      <c r="D75" s="363" t="str">
        <f>VLOOKUP(B75,'HECVAT - Full'!A1:E312,4,FALSE)</f>
        <v>https://ltiaas.com/compliance/Comprehensive_IT_Security_Policy.pdf Page 101</v>
      </c>
      <c r="E75" s="337" t="b">
        <f t="shared" si="8"/>
        <v>1</v>
      </c>
      <c r="F75" s="357" t="s">
        <v>3121</v>
      </c>
      <c r="G75" s="335" t="s">
        <v>90</v>
      </c>
      <c r="H75" s="338">
        <v>1.0</v>
      </c>
      <c r="I75" s="336" t="str">
        <f>VLOOKUP(B75,'HECVAT - Full'!A1:E312,3,FALSE)</f>
        <v>Yes</v>
      </c>
      <c r="J75" s="181">
        <f t="shared" si="27"/>
        <v>1</v>
      </c>
      <c r="K75" s="181">
        <f>IF(H75=1,25,"")</f>
        <v>25</v>
      </c>
      <c r="L75" s="181">
        <f t="shared" si="6"/>
        <v>25</v>
      </c>
      <c r="M75" s="198" t="str">
        <f>VLOOKUP($B75,'Standards Crosswalk'!$A1:$H321,3,FALSE)</f>
        <v>CSC 10</v>
      </c>
      <c r="N75" s="198" t="str">
        <f>VLOOKUP($B75,'Standards Crosswalk'!$A1:$H321,4,FALSE)</f>
        <v/>
      </c>
      <c r="O75" s="198" t="str">
        <f>VLOOKUP($B75,'Standards Crosswalk'!$A1:$H321,5,FALSE)</f>
        <v>12.1.2</v>
      </c>
      <c r="P75" s="198" t="str">
        <f>VLOOKUP($B75,'Standards Crosswalk'!$A1:$H321,6,FALSE)</f>
        <v>PR.IP-3</v>
      </c>
      <c r="Q75" s="198" t="str">
        <f>VLOOKUP($B75,'Standards Crosswalk'!$A1:$H321,7,FALSE)</f>
        <v>3.4.3, 3.4.4</v>
      </c>
      <c r="R75" s="198" t="str">
        <f>VLOOKUP($B75,'Standards Crosswalk'!$A1:$H321,8,FALSE)</f>
        <v>CM-3, CM-4, CM-5</v>
      </c>
      <c r="S75" s="198" t="str">
        <f>VLOOKUP($B75,'Standards Crosswalk'!$A1:$I321,9,FALSE)</f>
        <v>6.4, 6.4.5, 6.4.5.1, 6.4.5.2</v>
      </c>
      <c r="T75" s="181"/>
      <c r="U75" s="181"/>
      <c r="V75" s="181"/>
      <c r="W75" s="181"/>
      <c r="X75" s="181"/>
      <c r="Y75" s="181"/>
      <c r="Z75" s="6"/>
    </row>
    <row r="76" ht="143.25" customHeight="1">
      <c r="A76" s="334">
        <f t="shared" si="7"/>
        <v>74</v>
      </c>
      <c r="B76" s="335" t="s">
        <v>310</v>
      </c>
      <c r="C76" s="336" t="str">
        <f>VLOOKUP(B76,'HECVAT - Full'!A1:E312,2,FALSE)</f>
        <v>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v>
      </c>
      <c r="D76" s="334" t="str">
        <f>VLOOKUP(B76,'HECVAT - Full'!A1:E312,4,FALSE)</f>
        <v/>
      </c>
      <c r="E76" s="337" t="b">
        <f t="shared" si="8"/>
        <v>0</v>
      </c>
      <c r="F76" s="357" t="s">
        <v>3121</v>
      </c>
      <c r="G76" s="335" t="s">
        <v>90</v>
      </c>
      <c r="H76" s="338">
        <v>1.0</v>
      </c>
      <c r="I76" s="336" t="str">
        <f>VLOOKUP(B76,'HECVAT - Full'!A1:E312,3,FALSE)</f>
        <v>Please see our comprehensive security policy at https://ltiaas.com/compliance</v>
      </c>
      <c r="J76" s="181">
        <f>IF(VLOOKUP(B76,'Analyst Report'!$A$41:$G$88,7,FALSE)="Yes",1,0)</f>
        <v>0</v>
      </c>
      <c r="K76" s="181">
        <f t="shared" ref="K76:K78" si="31">IF(H76=1,20,"")</f>
        <v>20</v>
      </c>
      <c r="L76" s="181">
        <f t="shared" si="6"/>
        <v>0</v>
      </c>
      <c r="M76" s="198" t="str">
        <f>VLOOKUP($B76,'Standards Crosswalk'!$A1:$H321,3,FALSE)</f>
        <v>CSC 10</v>
      </c>
      <c r="N76" s="198" t="str">
        <f>VLOOKUP($B76,'Standards Crosswalk'!$A1:$H321,4,FALSE)</f>
        <v/>
      </c>
      <c r="O76" s="198" t="str">
        <f>VLOOKUP($B76,'Standards Crosswalk'!$A1:$H321,5,FALSE)</f>
        <v>12.1.2</v>
      </c>
      <c r="P76" s="198" t="str">
        <f>VLOOKUP($B76,'Standards Crosswalk'!$A1:$H321,6,FALSE)</f>
        <v>PR.IP-3, PR.DS-7</v>
      </c>
      <c r="Q76" s="198" t="str">
        <f>VLOOKUP($B76,'Standards Crosswalk'!$A1:$H321,7,FALSE)</f>
        <v>3.4.3, 3.4.4, 3.4.5</v>
      </c>
      <c r="R76" s="198" t="str">
        <f>VLOOKUP($B76,'Standards Crosswalk'!$A1:$H321,8,FALSE)</f>
        <v>CM-3, CM-4, CM-5</v>
      </c>
      <c r="S76" s="198" t="str">
        <f>VLOOKUP($B76,'Standards Crosswalk'!$A1:$I321,9,FALSE)</f>
        <v>6.4, 6.4.5, 6.4.5.1, 6.4.5.2</v>
      </c>
      <c r="T76" s="181"/>
      <c r="U76" s="181"/>
      <c r="V76" s="181"/>
      <c r="W76" s="181"/>
      <c r="X76" s="181"/>
      <c r="Y76" s="181"/>
      <c r="Z76" s="6"/>
    </row>
    <row r="77" ht="57.75" customHeight="1">
      <c r="A77" s="334">
        <f t="shared" si="7"/>
        <v>75</v>
      </c>
      <c r="B77" s="335" t="s">
        <v>314</v>
      </c>
      <c r="C77" s="336" t="str">
        <f>VLOOKUP(B77,'HECVAT - Full'!A1:E312,2,FALSE)</f>
        <v>Will the Institution be notified of major changes to your environment that could impact the Institution's security posture?</v>
      </c>
      <c r="D77" s="339" t="str">
        <f>VLOOKUP(B77,'HECVAT - Full'!A1:E312,4,FALSE)</f>
        <v>All customers will be notified via email before a major change is made if possible, depending on the nature of the change.</v>
      </c>
      <c r="E77" s="337" t="b">
        <f t="shared" si="8"/>
        <v>0</v>
      </c>
      <c r="F77" s="357" t="s">
        <v>3121</v>
      </c>
      <c r="G77" s="335" t="s">
        <v>90</v>
      </c>
      <c r="H77" s="338">
        <v>1.0</v>
      </c>
      <c r="I77" s="336" t="str">
        <f>VLOOKUP(B77,'HECVAT - Full'!A1:E312,3,FALSE)</f>
        <v>Yes</v>
      </c>
      <c r="J77" s="181">
        <f t="shared" ref="J77:J78" si="32">IF(G77=I77,1,0)</f>
        <v>1</v>
      </c>
      <c r="K77" s="181">
        <f t="shared" si="31"/>
        <v>20</v>
      </c>
      <c r="L77" s="181">
        <f t="shared" si="6"/>
        <v>20</v>
      </c>
      <c r="M77" s="198" t="str">
        <f>VLOOKUP($B77,'Standards Crosswalk'!$A1:$H321,3,FALSE)</f>
        <v>CSC 10</v>
      </c>
      <c r="N77" s="198" t="str">
        <f>VLOOKUP($B77,'Standards Crosswalk'!$A1:$H321,4,FALSE)</f>
        <v/>
      </c>
      <c r="O77" s="198" t="str">
        <f>VLOOKUP($B77,'Standards Crosswalk'!$A1:$H321,5,FALSE)</f>
        <v>12.1.2</v>
      </c>
      <c r="P77" s="198" t="str">
        <f>VLOOKUP($B77,'Standards Crosswalk'!$A1:$H321,6,FALSE)</f>
        <v/>
      </c>
      <c r="Q77" s="343" t="str">
        <f>VLOOKUP($B77,'Standards Crosswalk'!$A1:$H321,7,FALSE)</f>
        <v/>
      </c>
      <c r="R77" s="198" t="str">
        <f>VLOOKUP($B77,'Standards Crosswalk'!$A1:$H321,8,FALSE)</f>
        <v>CM-3, CM-4, CM-5</v>
      </c>
      <c r="S77" s="198" t="str">
        <f>VLOOKUP($B77,'Standards Crosswalk'!$A1:$I321,9,FALSE)</f>
        <v>6.4, 12.8, 12.9</v>
      </c>
      <c r="T77" s="181"/>
      <c r="U77" s="181"/>
      <c r="V77" s="181"/>
      <c r="W77" s="181"/>
      <c r="X77" s="181"/>
      <c r="Y77" s="181"/>
      <c r="Z77" s="6"/>
    </row>
    <row r="78" ht="43.5" customHeight="1">
      <c r="A78" s="334">
        <f t="shared" si="7"/>
        <v>76</v>
      </c>
      <c r="B78" s="335" t="s">
        <v>317</v>
      </c>
      <c r="C78" s="336" t="str">
        <f>VLOOKUP(B78,'HECVAT - Full'!A1:E312,2,FALSE)</f>
        <v>Do clients have the option to not participate in or postpone an upgrade to a new release?</v>
      </c>
      <c r="D78" s="334" t="str">
        <f>VLOOKUP(B78,'HECVAT - Full'!A1:E312,4,FALSE)</f>
        <v>Typically we expect customers to comply with a change within 30 days, but extensions can be granted. We have never made a non-backward-compatable change that would require a customer codebase update. The only changes we have made historically are DNS changes that are unlikely to happen in the future.</v>
      </c>
      <c r="E78" s="337" t="b">
        <f t="shared" si="8"/>
        <v>0</v>
      </c>
      <c r="F78" s="357" t="s">
        <v>3121</v>
      </c>
      <c r="G78" s="335" t="s">
        <v>90</v>
      </c>
      <c r="H78" s="338">
        <v>1.0</v>
      </c>
      <c r="I78" s="336" t="str">
        <f>VLOOKUP(B78,'HECVAT - Full'!A1:E312,3,FALSE)</f>
        <v>Yes</v>
      </c>
      <c r="J78" s="181">
        <f t="shared" si="32"/>
        <v>1</v>
      </c>
      <c r="K78" s="181">
        <f t="shared" si="31"/>
        <v>20</v>
      </c>
      <c r="L78" s="181">
        <f t="shared" si="6"/>
        <v>20</v>
      </c>
      <c r="M78" s="198" t="str">
        <f>VLOOKUP($B78,'Standards Crosswalk'!$A1:$H321,3,FALSE)</f>
        <v>CSC 10</v>
      </c>
      <c r="N78" s="198" t="str">
        <f>VLOOKUP($B78,'Standards Crosswalk'!$A1:$H321,4,FALSE)</f>
        <v/>
      </c>
      <c r="O78" s="198" t="str">
        <f>VLOOKUP($B78,'Standards Crosswalk'!$A1:$H321,5,FALSE)</f>
        <v/>
      </c>
      <c r="P78" s="198" t="str">
        <f>VLOOKUP($B78,'Standards Crosswalk'!$A1:$H321,6,FALSE)</f>
        <v/>
      </c>
      <c r="Q78" s="343" t="str">
        <f>VLOOKUP($B78,'Standards Crosswalk'!$A1:$H321,7,FALSE)</f>
        <v/>
      </c>
      <c r="R78" s="198" t="str">
        <f>VLOOKUP($B78,'Standards Crosswalk'!$A1:$H321,8,FALSE)</f>
        <v>CM-3, CM-4, CM-5</v>
      </c>
      <c r="S78" s="343">
        <f>VLOOKUP($B78,'Standards Crosswalk'!$A1:$I321,9,FALSE)</f>
        <v>12.1</v>
      </c>
      <c r="T78" s="181"/>
      <c r="U78" s="181"/>
      <c r="V78" s="181"/>
      <c r="W78" s="181"/>
      <c r="X78" s="181"/>
      <c r="Y78" s="181"/>
      <c r="Z78" s="6"/>
    </row>
    <row r="79" ht="86.25" customHeight="1">
      <c r="A79" s="334">
        <f t="shared" si="7"/>
        <v>77</v>
      </c>
      <c r="B79" s="335" t="s">
        <v>320</v>
      </c>
      <c r="C79" s="336" t="str">
        <f>VLOOKUP(B79,'HECVAT - Full'!A1:E312,2,FALSE)</f>
        <v>Describe or provide a reference to your solution support strategy in relation to maintaining software currency. (i.e. how many concurrent versions are you willing to run and support?)</v>
      </c>
      <c r="D79" s="334" t="str">
        <f>VLOOKUP(B79,'HECVAT - Full'!A1:E312,4,FALSE)</f>
        <v/>
      </c>
      <c r="E79" s="337" t="b">
        <f t="shared" si="8"/>
        <v>1</v>
      </c>
      <c r="F79" s="357" t="s">
        <v>3121</v>
      </c>
      <c r="G79" s="335" t="s">
        <v>90</v>
      </c>
      <c r="H79" s="338">
        <v>1.0</v>
      </c>
      <c r="I79" s="336" t="str">
        <f>VLOOKUP(B79,'HECVAT - Full'!A1:E312,3,FALSE)</f>
        <v>We have the capability to support any number of concurrent versions, only per customer request. We do not support maintaining versions with potential security vulnerabilities.</v>
      </c>
      <c r="J79" s="181">
        <f>IF(VLOOKUP(B79,'Analyst Report'!$A$41:$G$88,7,FALSE)="Yes",1,0)</f>
        <v>0</v>
      </c>
      <c r="K79" s="181">
        <f>IF(H79=1,25,"")</f>
        <v>25</v>
      </c>
      <c r="L79" s="181">
        <f t="shared" si="6"/>
        <v>0</v>
      </c>
      <c r="M79" s="198" t="str">
        <f>VLOOKUP($B79,'Standards Crosswalk'!$A1:$H321,3,FALSE)</f>
        <v>CSC 2</v>
      </c>
      <c r="N79" s="198" t="str">
        <f>VLOOKUP($B79,'Standards Crosswalk'!$A1:$H321,4,FALSE)</f>
        <v/>
      </c>
      <c r="O79" s="198" t="str">
        <f>VLOOKUP($B79,'Standards Crosswalk'!$A1:$H321,5,FALSE)</f>
        <v/>
      </c>
      <c r="P79" s="198" t="str">
        <f>VLOOKUP($B79,'Standards Crosswalk'!$A1:$H321,6,FALSE)</f>
        <v/>
      </c>
      <c r="Q79" s="343" t="str">
        <f>VLOOKUP($B79,'Standards Crosswalk'!$A1:$H321,7,FALSE)</f>
        <v/>
      </c>
      <c r="R79" s="198" t="str">
        <f>VLOOKUP($B79,'Standards Crosswalk'!$A1:$H321,8,FALSE)</f>
        <v>CM-3, CM-4, CM-5</v>
      </c>
      <c r="S79" s="198" t="str">
        <f>VLOOKUP($B79,'Standards Crosswalk'!$A1:$I321,9,FALSE)</f>
        <v>12.1, 12.8</v>
      </c>
      <c r="T79" s="181"/>
      <c r="U79" s="181"/>
      <c r="V79" s="181"/>
      <c r="W79" s="181"/>
      <c r="X79" s="181"/>
      <c r="Y79" s="181"/>
      <c r="Z79" s="6"/>
    </row>
    <row r="80" ht="86.25" customHeight="1">
      <c r="A80" s="334">
        <f t="shared" si="7"/>
        <v>78</v>
      </c>
      <c r="B80" s="335" t="s">
        <v>324</v>
      </c>
      <c r="C80" s="336" t="str">
        <f>VLOOKUP(B80,'HECVAT - Full'!A1:E312,2,FALSE)</f>
        <v>Identify the most current version of the software. Detail the percentage of live customers that are utilizing the proposed version of the software as well as each version of the software currently in use.</v>
      </c>
      <c r="D80" s="334" t="str">
        <f>VLOOKUP(B80,'HECVAT - Full'!A1:E312,4,FALSE)</f>
        <v/>
      </c>
      <c r="E80" s="337" t="b">
        <f t="shared" si="8"/>
        <v>0</v>
      </c>
      <c r="F80" s="357" t="s">
        <v>3121</v>
      </c>
      <c r="G80" s="335" t="s">
        <v>90</v>
      </c>
      <c r="H80" s="338">
        <v>1.0</v>
      </c>
      <c r="I80" s="336" t="str">
        <f>VLOOKUP(B80,'HECVAT - Full'!A1:E312,3,FALSE)</f>
        <v>All customers today are using the latest version of the LTIAAS API service software. Production software on LTIAAS servers is updated regularly with no impact to down time.</v>
      </c>
      <c r="J80" s="181">
        <f>IF(VLOOKUP(B80,'Analyst Report'!$A$41:$G$88,7,FALSE)="Yes",1,0)</f>
        <v>0</v>
      </c>
      <c r="K80" s="181">
        <f>IF(H80=1,10,"")</f>
        <v>10</v>
      </c>
      <c r="L80" s="181">
        <f t="shared" si="6"/>
        <v>0</v>
      </c>
      <c r="M80" s="198" t="str">
        <f>VLOOKUP($B80,'Standards Crosswalk'!$A1:$H321,3,FALSE)</f>
        <v>CSC 2</v>
      </c>
      <c r="N80" s="198" t="str">
        <f>VLOOKUP($B80,'Standards Crosswalk'!$A1:$H321,4,FALSE)</f>
        <v/>
      </c>
      <c r="O80" s="198" t="str">
        <f>VLOOKUP($B80,'Standards Crosswalk'!$A1:$H321,5,FALSE)</f>
        <v/>
      </c>
      <c r="P80" s="198" t="str">
        <f>VLOOKUP($B80,'Standards Crosswalk'!$A1:$H321,6,FALSE)</f>
        <v/>
      </c>
      <c r="Q80" s="343" t="str">
        <f>VLOOKUP($B80,'Standards Crosswalk'!$A1:$H321,7,FALSE)</f>
        <v/>
      </c>
      <c r="R80" s="198" t="str">
        <f>VLOOKUP($B80,'Standards Crosswalk'!$A1:$H321,8,FALSE)</f>
        <v>CM-3, CM-4, CM-5</v>
      </c>
      <c r="S80" s="343" t="str">
        <f>VLOOKUP($B80,'Standards Crosswalk'!$A1:$I321,9,FALSE)</f>
        <v/>
      </c>
      <c r="T80" s="181"/>
      <c r="U80" s="181"/>
      <c r="V80" s="181"/>
      <c r="W80" s="181"/>
      <c r="X80" s="181"/>
      <c r="Y80" s="181"/>
      <c r="Z80" s="6"/>
    </row>
    <row r="81" ht="43.5" customHeight="1">
      <c r="A81" s="334">
        <f t="shared" si="7"/>
        <v>79</v>
      </c>
      <c r="B81" s="335" t="s">
        <v>328</v>
      </c>
      <c r="C81" s="336" t="str">
        <f>VLOOKUP(B81,'HECVAT - Full'!A1:E312,2,FALSE)</f>
        <v>Does the system support client customizations from one release to another?</v>
      </c>
      <c r="D81" s="339" t="str">
        <f>VLOOKUP(B81,'HECVAT - Full'!A1:E312,4,FALSE)</f>
        <v>We have the capability to create a custom build of our software in some instances. These modified builds still require the same change management procedure thus they incur a management fee.</v>
      </c>
      <c r="E81" s="337" t="b">
        <f t="shared" si="8"/>
        <v>0</v>
      </c>
      <c r="F81" s="357" t="s">
        <v>3121</v>
      </c>
      <c r="G81" s="335" t="s">
        <v>90</v>
      </c>
      <c r="H81" s="338">
        <v>1.0</v>
      </c>
      <c r="I81" s="336" t="str">
        <f>VLOOKUP(B81,'HECVAT - Full'!A1:E312,3,FALSE)</f>
        <v>Yes</v>
      </c>
      <c r="J81" s="181">
        <f t="shared" ref="J81:J95" si="33">IF(G81=I81,1,0)</f>
        <v>1</v>
      </c>
      <c r="K81" s="181">
        <f>IF(H81=1,15,"")</f>
        <v>15</v>
      </c>
      <c r="L81" s="181">
        <f t="shared" si="6"/>
        <v>15</v>
      </c>
      <c r="M81" s="198" t="str">
        <f>VLOOKUP($B81,'Standards Crosswalk'!$A1:$H321,3,FALSE)</f>
        <v>CSC 10</v>
      </c>
      <c r="N81" s="198" t="str">
        <f>VLOOKUP($B81,'Standards Crosswalk'!$A1:$H321,4,FALSE)</f>
        <v/>
      </c>
      <c r="O81" s="198" t="str">
        <f>VLOOKUP($B81,'Standards Crosswalk'!$A1:$H321,5,FALSE)</f>
        <v/>
      </c>
      <c r="P81" s="198" t="str">
        <f>VLOOKUP($B81,'Standards Crosswalk'!$A1:$H321,6,FALSE)</f>
        <v/>
      </c>
      <c r="Q81" s="343" t="str">
        <f>VLOOKUP($B81,'Standards Crosswalk'!$A1:$H321,7,FALSE)</f>
        <v/>
      </c>
      <c r="R81" s="198" t="str">
        <f>VLOOKUP($B81,'Standards Crosswalk'!$A1:$H321,8,FALSE)</f>
        <v>CM-3, CM-4, CM-5</v>
      </c>
      <c r="S81" s="343" t="str">
        <f>VLOOKUP($B81,'Standards Crosswalk'!$A1:$I321,9,FALSE)</f>
        <v/>
      </c>
      <c r="T81" s="181"/>
      <c r="U81" s="181"/>
      <c r="V81" s="181"/>
      <c r="W81" s="181"/>
      <c r="X81" s="181"/>
      <c r="Y81" s="181"/>
      <c r="Z81" s="6"/>
    </row>
    <row r="82" ht="129.0" customHeight="1">
      <c r="A82" s="334">
        <f t="shared" si="7"/>
        <v>80</v>
      </c>
      <c r="B82" s="335" t="s">
        <v>331</v>
      </c>
      <c r="C82" s="336" t="str">
        <f>VLOOKUP(B82,'HECVAT - Full'!A1:E312,2,FALSE)</f>
        <v>Does your organization ensure through policy and procedure (that is currently implemented) that only application software verifiable as authorized, tested, and approved for production, and having met all other requirements and reviews necessary for commissioning, is placed into production?</v>
      </c>
      <c r="D82" s="339" t="str">
        <f>VLOOKUP(B82,'HECVAT - Full'!A1:E312,4,FALSE)</f>
        <v>All of our software is scanned before being allowed to be released. Only released software can be deployed.</v>
      </c>
      <c r="E82" s="337" t="b">
        <f t="shared" si="8"/>
        <v>1</v>
      </c>
      <c r="F82" s="357" t="s">
        <v>3121</v>
      </c>
      <c r="G82" s="335" t="s">
        <v>90</v>
      </c>
      <c r="H82" s="338">
        <v>1.0</v>
      </c>
      <c r="I82" s="336" t="str">
        <f>VLOOKUP(B82,'HECVAT - Full'!A1:E312,3,FALSE)</f>
        <v>Yes</v>
      </c>
      <c r="J82" s="181">
        <f t="shared" si="33"/>
        <v>1</v>
      </c>
      <c r="K82" s="181">
        <f>IF(H82=1,25,"")</f>
        <v>25</v>
      </c>
      <c r="L82" s="181">
        <f t="shared" si="6"/>
        <v>25</v>
      </c>
      <c r="M82" s="198" t="str">
        <f>VLOOKUP($B82,'Standards Crosswalk'!$A1:$H321,3,FALSE)</f>
        <v>CSC 2</v>
      </c>
      <c r="N82" s="198" t="str">
        <f>VLOOKUP($B82,'Standards Crosswalk'!$A1:$H321,4,FALSE)</f>
        <v/>
      </c>
      <c r="O82" s="198" t="str">
        <f>VLOOKUP($B82,'Standards Crosswalk'!$A1:$H321,5,FALSE)</f>
        <v>12.1.1</v>
      </c>
      <c r="P82" s="198" t="str">
        <f>VLOOKUP($B82,'Standards Crosswalk'!$A1:$H321,6,FALSE)</f>
        <v>PR.DS-6</v>
      </c>
      <c r="Q82" s="198" t="str">
        <f>VLOOKUP($B82,'Standards Crosswalk'!$A1:$H321,7,FALSE)</f>
        <v>3.4.4</v>
      </c>
      <c r="R82" s="198" t="str">
        <f>VLOOKUP($B82,'Standards Crosswalk'!$A1:$H321,8,FALSE)</f>
        <v>CM-3, CM-4, CM-5</v>
      </c>
      <c r="S82" s="343">
        <f>VLOOKUP($B82,'Standards Crosswalk'!$A1:$I321,9,FALSE)</f>
        <v>12.1</v>
      </c>
      <c r="T82" s="181"/>
      <c r="U82" s="181"/>
      <c r="V82" s="181"/>
      <c r="W82" s="181"/>
      <c r="X82" s="181"/>
      <c r="Y82" s="181"/>
      <c r="Z82" s="6"/>
    </row>
    <row r="83" ht="43.5" customHeight="1">
      <c r="A83" s="334">
        <f t="shared" si="7"/>
        <v>81</v>
      </c>
      <c r="B83" s="335" t="s">
        <v>334</v>
      </c>
      <c r="C83" s="336" t="str">
        <f>VLOOKUP(B83,'HECVAT - Full'!A1:E312,2,FALSE)</f>
        <v>Do you have a release schedule for product updates?</v>
      </c>
      <c r="D83" s="339" t="str">
        <f>VLOOKUP(B83,'HECVAT - Full'!A1:E312,4,FALSE)</f>
        <v>Releases are made infrequently on an as-needed basis</v>
      </c>
      <c r="E83" s="337" t="b">
        <f t="shared" si="8"/>
        <v>0</v>
      </c>
      <c r="F83" s="357" t="s">
        <v>3121</v>
      </c>
      <c r="G83" s="335" t="s">
        <v>90</v>
      </c>
      <c r="H83" s="338">
        <v>1.0</v>
      </c>
      <c r="I83" s="336" t="str">
        <f>VLOOKUP(B83,'HECVAT - Full'!A1:E312,3,FALSE)</f>
        <v>No</v>
      </c>
      <c r="J83" s="181">
        <f t="shared" si="33"/>
        <v>0</v>
      </c>
      <c r="K83" s="181">
        <f t="shared" ref="K83:K85" si="34">IF(H83=1,15,"")</f>
        <v>15</v>
      </c>
      <c r="L83" s="181">
        <f t="shared" si="6"/>
        <v>0</v>
      </c>
      <c r="M83" s="198" t="str">
        <f>VLOOKUP($B83,'Standards Crosswalk'!$A1:$H321,3,FALSE)</f>
        <v>CSC 10</v>
      </c>
      <c r="N83" s="198" t="str">
        <f>VLOOKUP($B83,'Standards Crosswalk'!$A1:$H321,4,FALSE)</f>
        <v/>
      </c>
      <c r="O83" s="198" t="str">
        <f>VLOOKUP($B83,'Standards Crosswalk'!$A1:$H321,5,FALSE)</f>
        <v/>
      </c>
      <c r="P83" s="198" t="str">
        <f>VLOOKUP($B83,'Standards Crosswalk'!$A1:$H321,6,FALSE)</f>
        <v/>
      </c>
      <c r="Q83" s="198" t="str">
        <f>VLOOKUP($B83,'Standards Crosswalk'!$A1:$H321,7,FALSE)</f>
        <v>3.14.4</v>
      </c>
      <c r="R83" s="198" t="str">
        <f>VLOOKUP($B83,'Standards Crosswalk'!$A1:$H321,8,FALSE)</f>
        <v>CM-3, CM-4, CM-5</v>
      </c>
      <c r="S83" s="343" t="str">
        <f>VLOOKUP($B83,'Standards Crosswalk'!$A1:$I321,9,FALSE)</f>
        <v/>
      </c>
      <c r="T83" s="181"/>
      <c r="U83" s="181"/>
      <c r="V83" s="181"/>
      <c r="W83" s="181"/>
      <c r="X83" s="181"/>
      <c r="Y83" s="181"/>
      <c r="Z83" s="6"/>
    </row>
    <row r="84" ht="57.75" customHeight="1">
      <c r="A84" s="334">
        <f t="shared" si="7"/>
        <v>82</v>
      </c>
      <c r="B84" s="335" t="s">
        <v>337</v>
      </c>
      <c r="C84" s="336" t="str">
        <f>VLOOKUP(B84,'HECVAT - Full'!A1:E312,2,FALSE)</f>
        <v>Do you have a technology roadmap, for the next 2 years, for enhancements and bug fixes for the product/service being assessed?</v>
      </c>
      <c r="D84" s="339" t="str">
        <f>VLOOKUP(B84,'HECVAT - Full'!A1:E312,4,FALSE)</f>
        <v>This is proprietary and not available publicly.</v>
      </c>
      <c r="E84" s="337" t="b">
        <f t="shared" si="8"/>
        <v>0</v>
      </c>
      <c r="F84" s="357" t="s">
        <v>3121</v>
      </c>
      <c r="G84" s="335" t="s">
        <v>90</v>
      </c>
      <c r="H84" s="338">
        <v>1.0</v>
      </c>
      <c r="I84" s="336" t="str">
        <f>VLOOKUP(B84,'HECVAT - Full'!A1:E312,3,FALSE)</f>
        <v>Yes</v>
      </c>
      <c r="J84" s="181">
        <f t="shared" si="33"/>
        <v>1</v>
      </c>
      <c r="K84" s="181">
        <f t="shared" si="34"/>
        <v>15</v>
      </c>
      <c r="L84" s="181">
        <f t="shared" si="6"/>
        <v>15</v>
      </c>
      <c r="M84" s="198" t="str">
        <f>VLOOKUP($B84,'Standards Crosswalk'!$A1:$H321,3,FALSE)</f>
        <v>CSC 2</v>
      </c>
      <c r="N84" s="198" t="str">
        <f>VLOOKUP($B84,'Standards Crosswalk'!$A1:$H321,4,FALSE)</f>
        <v/>
      </c>
      <c r="O84" s="198" t="str">
        <f>VLOOKUP($B84,'Standards Crosswalk'!$A1:$H321,5,FALSE)</f>
        <v/>
      </c>
      <c r="P84" s="198" t="str">
        <f>VLOOKUP($B84,'Standards Crosswalk'!$A1:$H321,6,FALSE)</f>
        <v/>
      </c>
      <c r="Q84" s="343" t="str">
        <f>VLOOKUP($B84,'Standards Crosswalk'!$A1:$H321,7,FALSE)</f>
        <v/>
      </c>
      <c r="R84" s="198" t="str">
        <f>VLOOKUP($B84,'Standards Crosswalk'!$A1:$H321,8,FALSE)</f>
        <v>CM-3, CM-4, CM-5</v>
      </c>
      <c r="S84" s="343" t="str">
        <f>VLOOKUP($B84,'Standards Crosswalk'!$A1:$I321,9,FALSE)</f>
        <v/>
      </c>
      <c r="T84" s="181"/>
      <c r="U84" s="181"/>
      <c r="V84" s="181"/>
      <c r="W84" s="181"/>
      <c r="X84" s="181"/>
      <c r="Y84" s="181"/>
      <c r="Z84" s="6"/>
    </row>
    <row r="85" ht="43.5" customHeight="1">
      <c r="A85" s="334">
        <f t="shared" si="7"/>
        <v>83</v>
      </c>
      <c r="B85" s="335" t="s">
        <v>340</v>
      </c>
      <c r="C85" s="336" t="str">
        <f>VLOOKUP(B85,'HECVAT - Full'!A1:E312,2,FALSE)</f>
        <v>Is Institution involvement (i.e. technically or organizationally) required during product updates?</v>
      </c>
      <c r="D85" s="334" t="str">
        <f>VLOOKUP(B85,'HECVAT - Full'!A1:E312,4,FALSE)</f>
        <v/>
      </c>
      <c r="E85" s="337" t="b">
        <f t="shared" si="8"/>
        <v>0</v>
      </c>
      <c r="F85" s="357" t="s">
        <v>3121</v>
      </c>
      <c r="G85" s="335" t="s">
        <v>90</v>
      </c>
      <c r="H85" s="338">
        <v>1.0</v>
      </c>
      <c r="I85" s="336" t="str">
        <f>VLOOKUP(B85,'HECVAT - Full'!A1:E312,3,FALSE)</f>
        <v>No</v>
      </c>
      <c r="J85" s="181">
        <f t="shared" si="33"/>
        <v>0</v>
      </c>
      <c r="K85" s="181">
        <f t="shared" si="34"/>
        <v>15</v>
      </c>
      <c r="L85" s="181">
        <f t="shared" si="6"/>
        <v>0</v>
      </c>
      <c r="M85" s="198" t="str">
        <f>VLOOKUP($B85,'Standards Crosswalk'!$A1:$H321,3,FALSE)</f>
        <v/>
      </c>
      <c r="N85" s="198" t="str">
        <f>VLOOKUP($B85,'Standards Crosswalk'!$A1:$H321,4,FALSE)</f>
        <v/>
      </c>
      <c r="O85" s="198" t="str">
        <f>VLOOKUP($B85,'Standards Crosswalk'!$A1:$H321,5,FALSE)</f>
        <v/>
      </c>
      <c r="P85" s="198" t="str">
        <f>VLOOKUP($B85,'Standards Crosswalk'!$A1:$H321,6,FALSE)</f>
        <v/>
      </c>
      <c r="Q85" s="343" t="str">
        <f>VLOOKUP($B85,'Standards Crosswalk'!$A1:$H321,7,FALSE)</f>
        <v/>
      </c>
      <c r="R85" s="198" t="str">
        <f>VLOOKUP($B85,'Standards Crosswalk'!$A1:$H321,8,FALSE)</f>
        <v>CM-3, CM-4, CM-5</v>
      </c>
      <c r="S85" s="343" t="str">
        <f>VLOOKUP($B85,'Standards Crosswalk'!$A1:$I321,9,FALSE)</f>
        <v/>
      </c>
      <c r="T85" s="181"/>
      <c r="U85" s="181"/>
      <c r="V85" s="181"/>
      <c r="W85" s="181"/>
      <c r="X85" s="181"/>
      <c r="Y85" s="181"/>
      <c r="Z85" s="6"/>
    </row>
    <row r="86" ht="57.75" customHeight="1">
      <c r="A86" s="334">
        <f t="shared" si="7"/>
        <v>84</v>
      </c>
      <c r="B86" s="335" t="s">
        <v>342</v>
      </c>
      <c r="C86" s="336" t="str">
        <f>VLOOKUP(B86,'HECVAT - Full'!A1:E312,2,FALSE)</f>
        <v>Do you have policy and procedure, currently implemented, managing how critical patches are applied to all systems and applications?</v>
      </c>
      <c r="D86" s="339" t="str">
        <f>VLOOKUP(B86,'HECVAT - Full'!A1:E312,4,FALSE)</f>
        <v>All patches are implemented, tested, and checked for vulnerabilities before deployment. Patches are deployed with zero downtime and are totally transparent to the user.</v>
      </c>
      <c r="E86" s="337" t="b">
        <f t="shared" si="8"/>
        <v>0</v>
      </c>
      <c r="F86" s="357" t="s">
        <v>3121</v>
      </c>
      <c r="G86" s="335" t="s">
        <v>90</v>
      </c>
      <c r="H86" s="338">
        <v>1.0</v>
      </c>
      <c r="I86" s="336" t="str">
        <f>VLOOKUP(B86,'HECVAT - Full'!A1:E312,3,FALSE)</f>
        <v>Yes</v>
      </c>
      <c r="J86" s="181">
        <f t="shared" si="33"/>
        <v>1</v>
      </c>
      <c r="K86" s="181">
        <f t="shared" ref="K86:K87" si="35">IF(H86=1,20,"")</f>
        <v>20</v>
      </c>
      <c r="L86" s="181">
        <f t="shared" si="6"/>
        <v>20</v>
      </c>
      <c r="M86" s="198" t="str">
        <f>VLOOKUP($B86,'Standards Crosswalk'!$A1:$H321,3,FALSE)</f>
        <v>CSC 2</v>
      </c>
      <c r="N86" s="198" t="str">
        <f>VLOOKUP($B86,'Standards Crosswalk'!$A1:$H321,4,FALSE)</f>
        <v/>
      </c>
      <c r="O86" s="198" t="str">
        <f>VLOOKUP($B86,'Standards Crosswalk'!$A1:$H321,5,FALSE)</f>
        <v>12.6.1</v>
      </c>
      <c r="P86" s="198" t="str">
        <f>VLOOKUP($B86,'Standards Crosswalk'!$A1:$H321,6,FALSE)</f>
        <v/>
      </c>
      <c r="Q86" s="343" t="str">
        <f>VLOOKUP($B86,'Standards Crosswalk'!$A1:$H321,7,FALSE)</f>
        <v/>
      </c>
      <c r="R86" s="198" t="str">
        <f>VLOOKUP($B86,'Standards Crosswalk'!$A1:$H321,8,FALSE)</f>
        <v>CM-3, CM-4, CM-5</v>
      </c>
      <c r="S86" s="198" t="str">
        <f>VLOOKUP($B86,'Standards Crosswalk'!$A1:$I321,9,FALSE)</f>
        <v>12.1, 12.8, 6.2</v>
      </c>
      <c r="T86" s="181"/>
      <c r="U86" s="181"/>
      <c r="V86" s="181"/>
      <c r="W86" s="181"/>
      <c r="X86" s="181"/>
      <c r="Y86" s="181"/>
      <c r="Z86" s="6"/>
    </row>
    <row r="87" ht="57.75" customHeight="1">
      <c r="A87" s="334">
        <f t="shared" si="7"/>
        <v>85</v>
      </c>
      <c r="B87" s="335" t="s">
        <v>345</v>
      </c>
      <c r="C87" s="336" t="str">
        <f>VLOOKUP(B87,'HECVAT - Full'!A1:E312,2,FALSE)</f>
        <v>Do you have policy and procedure, currently implemented, guiding how security risks are mitigated until patches can be applied?</v>
      </c>
      <c r="D87" s="339" t="str">
        <f>VLOOKUP(B87,'HECVAT - Full'!A1:E312,4,FALSE)</f>
        <v>We scan for security risks in our deployed software at least monthly. If one is found, we have procedures in place to asses the risk and take immediate temporary action. Typical actions include: Specific state monitoring and disabling of non-critical services. See more at https://ltiaas.com/compliance</v>
      </c>
      <c r="E87" s="337" t="b">
        <f t="shared" si="8"/>
        <v>0</v>
      </c>
      <c r="F87" s="357" t="s">
        <v>3121</v>
      </c>
      <c r="G87" s="335" t="s">
        <v>90</v>
      </c>
      <c r="H87" s="338">
        <v>1.0</v>
      </c>
      <c r="I87" s="336" t="str">
        <f>VLOOKUP(B87,'HECVAT - Full'!A1:E312,3,FALSE)</f>
        <v>Yes</v>
      </c>
      <c r="J87" s="181">
        <f t="shared" si="33"/>
        <v>1</v>
      </c>
      <c r="K87" s="181">
        <f t="shared" si="35"/>
        <v>20</v>
      </c>
      <c r="L87" s="181">
        <f t="shared" si="6"/>
        <v>20</v>
      </c>
      <c r="M87" s="198" t="str">
        <f>VLOOKUP($B87,'Standards Crosswalk'!$A1:$H321,3,FALSE)</f>
        <v>CSC 13</v>
      </c>
      <c r="N87" s="198" t="str">
        <f>VLOOKUP($B87,'Standards Crosswalk'!$A1:$H321,4,FALSE)</f>
        <v>§164.308(a)(1)(ii)(B)</v>
      </c>
      <c r="O87" s="198" t="str">
        <f>VLOOKUP($B87,'Standards Crosswalk'!$A1:$H321,5,FALSE)</f>
        <v>12.6.1</v>
      </c>
      <c r="P87" s="198" t="str">
        <f>VLOOKUP($B87,'Standards Crosswalk'!$A1:$H321,6,FALSE)</f>
        <v/>
      </c>
      <c r="Q87" s="343" t="str">
        <f>VLOOKUP($B87,'Standards Crosswalk'!$A1:$H321,7,FALSE)</f>
        <v/>
      </c>
      <c r="R87" s="198" t="str">
        <f>VLOOKUP($B87,'Standards Crosswalk'!$A1:$H321,8,FALSE)</f>
        <v>CM-3, CM-4, CM-5</v>
      </c>
      <c r="S87" s="198" t="str">
        <f>VLOOKUP($B87,'Standards Crosswalk'!$A1:$I321,9,FALSE)</f>
        <v>12.2, 12.8</v>
      </c>
      <c r="T87" s="181"/>
      <c r="U87" s="181"/>
      <c r="V87" s="181"/>
      <c r="W87" s="181"/>
      <c r="X87" s="181"/>
      <c r="Y87" s="181"/>
      <c r="Z87" s="6"/>
    </row>
    <row r="88" ht="57.75" customHeight="1">
      <c r="A88" s="334">
        <f t="shared" si="7"/>
        <v>86</v>
      </c>
      <c r="B88" s="335" t="s">
        <v>348</v>
      </c>
      <c r="C88" s="336" t="str">
        <f>VLOOKUP(B88,'HECVAT - Full'!A1:E312,2,FALSE)</f>
        <v>Are upgrades or system changes installed during off-peak hours or in a manner that does not impact the customer?</v>
      </c>
      <c r="D88" s="339" t="str">
        <f>VLOOKUP(B88,'HECVAT - Full'!A1:E312,4,FALSE)</f>
        <v>All upgrades are hot-swapped with zero down time in a non-batch mode at 11PM PST.</v>
      </c>
      <c r="E88" s="337" t="b">
        <f t="shared" si="8"/>
        <v>0</v>
      </c>
      <c r="F88" s="357" t="s">
        <v>3121</v>
      </c>
      <c r="G88" s="335" t="s">
        <v>90</v>
      </c>
      <c r="H88" s="338">
        <v>1.0</v>
      </c>
      <c r="I88" s="336" t="str">
        <f>VLOOKUP(B88,'HECVAT - Full'!A1:E312,3,FALSE)</f>
        <v>Yes</v>
      </c>
      <c r="J88" s="181">
        <f t="shared" si="33"/>
        <v>1</v>
      </c>
      <c r="K88" s="181">
        <f t="shared" ref="K88:K89" si="36">IF(H88=1,15,"")</f>
        <v>15</v>
      </c>
      <c r="L88" s="181">
        <f t="shared" si="6"/>
        <v>15</v>
      </c>
      <c r="M88" s="198" t="str">
        <f>VLOOKUP($B88,'Standards Crosswalk'!$A1:$H321,3,FALSE)</f>
        <v>CSC 10</v>
      </c>
      <c r="N88" s="198" t="str">
        <f>VLOOKUP($B88,'Standards Crosswalk'!$A1:$H321,4,FALSE)</f>
        <v/>
      </c>
      <c r="O88" s="198" t="str">
        <f>VLOOKUP($B88,'Standards Crosswalk'!$A1:$H321,5,FALSE)</f>
        <v/>
      </c>
      <c r="P88" s="198" t="str">
        <f>VLOOKUP($B88,'Standards Crosswalk'!$A1:$H321,6,FALSE)</f>
        <v/>
      </c>
      <c r="Q88" s="343" t="str">
        <f>VLOOKUP($B88,'Standards Crosswalk'!$A1:$H321,7,FALSE)</f>
        <v/>
      </c>
      <c r="R88" s="198" t="str">
        <f>VLOOKUP($B88,'Standards Crosswalk'!$A1:$H321,8,FALSE)</f>
        <v>CM-3, CM-4, CM-5</v>
      </c>
      <c r="S88" s="198" t="str">
        <f>VLOOKUP($B88,'Standards Crosswalk'!$A1:$I321,9,FALSE)</f>
        <v>12.1, 12.2, 12.8</v>
      </c>
      <c r="T88" s="181"/>
      <c r="U88" s="181"/>
      <c r="V88" s="181"/>
      <c r="W88" s="181"/>
      <c r="X88" s="181"/>
      <c r="Y88" s="181"/>
      <c r="Z88" s="6"/>
    </row>
    <row r="89" ht="57.75" customHeight="1">
      <c r="A89" s="334">
        <f t="shared" si="7"/>
        <v>87</v>
      </c>
      <c r="B89" s="335" t="s">
        <v>351</v>
      </c>
      <c r="C89" s="336" t="str">
        <f>VLOOKUP(B89,'HECVAT - Full'!A1:E312,2,FALSE)</f>
        <v>Do procedures exist to provide that emergency changes are documented and authorized (including after the fact approval)?</v>
      </c>
      <c r="D89" s="363" t="str">
        <f>VLOOKUP(B89,'HECVAT - Full'!A1:E312,4,FALSE)</f>
        <v>https://ltiaas.com/compliance/Comprehensive_IT_Security_Policy.pdf Page 101</v>
      </c>
      <c r="E89" s="337" t="b">
        <f t="shared" si="8"/>
        <v>0</v>
      </c>
      <c r="F89" s="357" t="s">
        <v>3121</v>
      </c>
      <c r="G89" s="335" t="s">
        <v>90</v>
      </c>
      <c r="H89" s="338">
        <v>1.0</v>
      </c>
      <c r="I89" s="336" t="str">
        <f>VLOOKUP(B89,'HECVAT - Full'!A1:E312,3,FALSE)</f>
        <v>Yes</v>
      </c>
      <c r="J89" s="181">
        <f t="shared" si="33"/>
        <v>1</v>
      </c>
      <c r="K89" s="181">
        <f t="shared" si="36"/>
        <v>15</v>
      </c>
      <c r="L89" s="181">
        <f t="shared" si="6"/>
        <v>15</v>
      </c>
      <c r="M89" s="198" t="str">
        <f>VLOOKUP($B89,'Standards Crosswalk'!$A1:$H321,3,FALSE)</f>
        <v>CSC 10</v>
      </c>
      <c r="N89" s="198" t="str">
        <f>VLOOKUP($B89,'Standards Crosswalk'!$A1:$H321,4,FALSE)</f>
        <v/>
      </c>
      <c r="O89" s="198" t="str">
        <f>VLOOKUP($B89,'Standards Crosswalk'!$A1:$H321,5,FALSE)</f>
        <v>12.1.2</v>
      </c>
      <c r="P89" s="198" t="str">
        <f>VLOOKUP($B89,'Standards Crosswalk'!$A1:$H321,6,FALSE)</f>
        <v>PR.IP-3</v>
      </c>
      <c r="Q89" s="343" t="str">
        <f>VLOOKUP($B89,'Standards Crosswalk'!$A1:$H321,7,FALSE)</f>
        <v/>
      </c>
      <c r="R89" s="198" t="str">
        <f>VLOOKUP($B89,'Standards Crosswalk'!$A1:$H321,8,FALSE)</f>
        <v>CM-3, CM-4, CM-5</v>
      </c>
      <c r="S89" s="198" t="str">
        <f>VLOOKUP($B89,'Standards Crosswalk'!$A1:$I321,9,FALSE)</f>
        <v>12.10, 12.8, 6.4</v>
      </c>
      <c r="T89" s="181"/>
      <c r="U89" s="181"/>
      <c r="V89" s="181"/>
      <c r="W89" s="181"/>
      <c r="X89" s="181"/>
      <c r="Y89" s="181"/>
      <c r="Z89" s="6"/>
    </row>
    <row r="90" ht="43.5" customHeight="1">
      <c r="A90" s="334">
        <f t="shared" si="7"/>
        <v>88</v>
      </c>
      <c r="B90" s="335" t="s">
        <v>354</v>
      </c>
      <c r="C90" s="336" t="str">
        <f>VLOOKUP(B90,'HECVAT - Full'!A1:E312,2,FALSE)</f>
        <v>Do you physically and logically separate Institution's data from that of other customers?</v>
      </c>
      <c r="D90" s="358" t="str">
        <f>VLOOKUP(B90,'HECVAT - Full'!A1:E312,4,FALSE)</f>
        <v>Each institution's data can only be accessed via a customer provided AKI key and LTIAAS internal key. Customer data is not physically seperated from other customer data.</v>
      </c>
      <c r="E90" s="337" t="b">
        <f t="shared" si="8"/>
        <v>1</v>
      </c>
      <c r="F90" s="357" t="s">
        <v>3123</v>
      </c>
      <c r="G90" s="335" t="s">
        <v>90</v>
      </c>
      <c r="H90" s="338">
        <v>1.0</v>
      </c>
      <c r="I90" s="349" t="str">
        <f>VLOOKUP(B90,'HECVAT - Full'!A1:E312,3,FALSE)</f>
        <v>No</v>
      </c>
      <c r="J90" s="181">
        <f t="shared" si="33"/>
        <v>0</v>
      </c>
      <c r="K90" s="181">
        <f>IF(H90=1,25,"")</f>
        <v>25</v>
      </c>
      <c r="L90" s="181">
        <f t="shared" si="6"/>
        <v>0</v>
      </c>
      <c r="M90" s="198" t="str">
        <f>VLOOKUP($B90,'Standards Crosswalk'!$A1:$H321,3,FALSE)</f>
        <v>CSC 12</v>
      </c>
      <c r="N90" s="198" t="str">
        <f>VLOOKUP($B90,'Standards Crosswalk'!$A1:$H321,4,FALSE)</f>
        <v/>
      </c>
      <c r="O90" s="198" t="str">
        <f>VLOOKUP($B90,'Standards Crosswalk'!$A1:$H321,5,FALSE)</f>
        <v/>
      </c>
      <c r="P90" s="198" t="str">
        <f>VLOOKUP($B90,'Standards Crosswalk'!$A1:$H321,6,FALSE)</f>
        <v>PR.AC-2, PR.IP-5</v>
      </c>
      <c r="Q90" s="198" t="str">
        <f>VLOOKUP($B90,'Standards Crosswalk'!$A1:$H321,7,FALSE)</f>
        <v>3.1.3, 3.8.1</v>
      </c>
      <c r="R90" s="198" t="str">
        <f>VLOOKUP($B90,'Standards Crosswalk'!$A1:$H321,8,FALSE)</f>
        <v>AC-4, MP-2, MP-4</v>
      </c>
      <c r="S90" s="343">
        <f>VLOOKUP($B90,'Standards Crosswalk'!$A1:$I321,9,FALSE)</f>
        <v>12.8</v>
      </c>
      <c r="T90" s="181"/>
      <c r="U90" s="181"/>
      <c r="V90" s="181"/>
      <c r="W90" s="181"/>
      <c r="X90" s="181"/>
      <c r="Y90" s="181"/>
      <c r="Z90" s="6"/>
    </row>
    <row r="91" ht="72.0" customHeight="1">
      <c r="A91" s="334">
        <f t="shared" si="7"/>
        <v>89</v>
      </c>
      <c r="B91" s="335" t="s">
        <v>357</v>
      </c>
      <c r="C91" s="336" t="str">
        <f>VLOOKUP(B91,'HECVAT - Full'!A1:E312,2,FALSE)</f>
        <v>Will Institution's data be stored on any devices (database servers, file servers, SAN, NAS, …) configured with non-RFC 1918/4193 (i.e. publicly routable) IP addresses?</v>
      </c>
      <c r="D91" s="358" t="str">
        <f>VLOOKUP(B91,'HECVAT - Full'!A1:E312,4,FALSE)</f>
        <v/>
      </c>
      <c r="E91" s="337" t="b">
        <f t="shared" si="8"/>
        <v>0</v>
      </c>
      <c r="F91" s="357" t="s">
        <v>3123</v>
      </c>
      <c r="G91" s="335" t="s">
        <v>90</v>
      </c>
      <c r="H91" s="338">
        <v>1.0</v>
      </c>
      <c r="I91" s="349" t="str">
        <f>VLOOKUP(B91,'HECVAT - Full'!A1:E312,3,FALSE)</f>
        <v>No</v>
      </c>
      <c r="J91" s="181">
        <f t="shared" si="33"/>
        <v>0</v>
      </c>
      <c r="K91" s="181">
        <f>IF(H91=1,15,"")</f>
        <v>15</v>
      </c>
      <c r="L91" s="181">
        <f t="shared" si="6"/>
        <v>0</v>
      </c>
      <c r="M91" s="198" t="str">
        <f>VLOOKUP($B91,'Standards Crosswalk'!$A1:$H321,3,FALSE)</f>
        <v>CSC 12</v>
      </c>
      <c r="N91" s="198" t="str">
        <f>VLOOKUP($B91,'Standards Crosswalk'!$A1:$H321,4,FALSE)</f>
        <v/>
      </c>
      <c r="O91" s="198" t="str">
        <f>VLOOKUP($B91,'Standards Crosswalk'!$A1:$H321,5,FALSE)</f>
        <v/>
      </c>
      <c r="P91" s="198" t="str">
        <f>VLOOKUP($B91,'Standards Crosswalk'!$A1:$H321,6,FALSE)</f>
        <v>PR.AC-2, PR.IP-5</v>
      </c>
      <c r="Q91" s="198" t="str">
        <f>VLOOKUP($B91,'Standards Crosswalk'!$A1:$H321,7,FALSE)</f>
        <v>3.1.22</v>
      </c>
      <c r="R91" s="198" t="str">
        <f>VLOOKUP($B91,'Standards Crosswalk'!$A1:$H321,8,FALSE)</f>
        <v>AC-22</v>
      </c>
      <c r="S91" s="198" t="str">
        <f>VLOOKUP($B91,'Standards Crosswalk'!$A1:$I321,9,FALSE)</f>
        <v>12.8, 9.x</v>
      </c>
      <c r="T91" s="181"/>
      <c r="U91" s="181"/>
      <c r="V91" s="181"/>
      <c r="W91" s="181"/>
      <c r="X91" s="181"/>
      <c r="Y91" s="181"/>
      <c r="Z91" s="6"/>
    </row>
    <row r="92" ht="29.25" customHeight="1">
      <c r="A92" s="334">
        <f t="shared" si="7"/>
        <v>90</v>
      </c>
      <c r="B92" s="335" t="s">
        <v>359</v>
      </c>
      <c r="C92" s="336" t="str">
        <f>VLOOKUP(B92,'HECVAT - Full'!A1:E312,2,FALSE)</f>
        <v>Is sensitive data encrypted in transport? (e.g. system-to-client)</v>
      </c>
      <c r="D92" s="358" t="str">
        <f>VLOOKUP(B92,'HECVAT - Full'!A1:E312,4,FALSE)</f>
        <v>SSL</v>
      </c>
      <c r="E92" s="337" t="b">
        <f t="shared" si="8"/>
        <v>1</v>
      </c>
      <c r="F92" s="357" t="s">
        <v>3123</v>
      </c>
      <c r="G92" s="335" t="s">
        <v>90</v>
      </c>
      <c r="H92" s="338">
        <v>1.0</v>
      </c>
      <c r="I92" s="349" t="str">
        <f>VLOOKUP(B92,'HECVAT - Full'!A1:E312,3,FALSE)</f>
        <v>Yes</v>
      </c>
      <c r="J92" s="181">
        <f t="shared" si="33"/>
        <v>1</v>
      </c>
      <c r="K92" s="181">
        <f>IF(H92=1,25,"")</f>
        <v>25</v>
      </c>
      <c r="L92" s="181">
        <f t="shared" si="6"/>
        <v>25</v>
      </c>
      <c r="M92" s="198" t="str">
        <f>VLOOKUP($B92,'Standards Crosswalk'!$A1:$H321,3,FALSE)</f>
        <v>CSC 13</v>
      </c>
      <c r="N92" s="198" t="str">
        <f>VLOOKUP($B92,'Standards Crosswalk'!$A1:$H321,4,FALSE)</f>
        <v/>
      </c>
      <c r="O92" s="198" t="str">
        <f>VLOOKUP($B92,'Standards Crosswalk'!$A1:$H321,5,FALSE)</f>
        <v>10.1.1</v>
      </c>
      <c r="P92" s="198" t="str">
        <f>VLOOKUP($B92,'Standards Crosswalk'!$A1:$H321,6,FALSE)</f>
        <v>PR.DS-2</v>
      </c>
      <c r="Q92" s="343" t="str">
        <f>VLOOKUP($B92,'Standards Crosswalk'!$A1:$H321,7,FALSE)</f>
        <v/>
      </c>
      <c r="R92" s="198" t="str">
        <f>VLOOKUP($B92,'Standards Crosswalk'!$A1:$H321,8,FALSE)</f>
        <v/>
      </c>
      <c r="S92" s="198" t="str">
        <f>VLOOKUP($B92,'Standards Crosswalk'!$A1:$I321,9,FALSE)</f>
        <v>12.8, 4.1</v>
      </c>
      <c r="T92" s="181"/>
      <c r="U92" s="181"/>
      <c r="V92" s="181"/>
      <c r="W92" s="181"/>
      <c r="X92" s="181"/>
      <c r="Y92" s="181"/>
      <c r="Z92" s="6"/>
    </row>
    <row r="93" ht="43.5" customHeight="1">
      <c r="A93" s="334">
        <f t="shared" si="7"/>
        <v>91</v>
      </c>
      <c r="B93" s="335" t="s">
        <v>362</v>
      </c>
      <c r="C93" s="336" t="str">
        <f>VLOOKUP(B93,'HECVAT - Full'!A1:E312,2,FALSE)</f>
        <v>Is sensitive data encrypted in storage (e.g. disk encryption, at-rest)?</v>
      </c>
      <c r="D93" s="358" t="str">
        <f>VLOOKUP(B93,'HECVAT - Full'!A1:E312,4,FALSE)</f>
        <v>AES-128 encrypted cloud drives</v>
      </c>
      <c r="E93" s="337" t="b">
        <f t="shared" si="8"/>
        <v>1</v>
      </c>
      <c r="F93" s="357" t="s">
        <v>3123</v>
      </c>
      <c r="G93" s="335" t="s">
        <v>90</v>
      </c>
      <c r="H93" s="338">
        <v>1.0</v>
      </c>
      <c r="I93" s="349" t="str">
        <f>VLOOKUP(B93,'HECVAT - Full'!A1:E312,3,FALSE)</f>
        <v>Yes</v>
      </c>
      <c r="J93" s="181">
        <f t="shared" si="33"/>
        <v>1</v>
      </c>
      <c r="K93" s="181">
        <f>IF(H93=1,40,"")</f>
        <v>40</v>
      </c>
      <c r="L93" s="181">
        <f t="shared" si="6"/>
        <v>40</v>
      </c>
      <c r="M93" s="198" t="str">
        <f>VLOOKUP($B93,'Standards Crosswalk'!$A1:$H321,3,FALSE)</f>
        <v>CSC 13</v>
      </c>
      <c r="N93" s="198" t="str">
        <f>VLOOKUP($B93,'Standards Crosswalk'!$A1:$H321,4,FALSE)</f>
        <v/>
      </c>
      <c r="O93" s="198" t="str">
        <f>VLOOKUP($B93,'Standards Crosswalk'!$A1:$H321,5,FALSE)</f>
        <v>8.2.3, 10.1.1</v>
      </c>
      <c r="P93" s="198" t="str">
        <f>VLOOKUP($B93,'Standards Crosswalk'!$A1:$H321,6,FALSE)</f>
        <v>PR.DS-1</v>
      </c>
      <c r="Q93" s="198" t="str">
        <f>VLOOKUP($B93,'Standards Crosswalk'!$A1:$H321,7,FALSE)</f>
        <v>3.1.19, 3.8.1</v>
      </c>
      <c r="R93" s="198" t="str">
        <f>VLOOKUP($B93,'Standards Crosswalk'!$A1:$H321,8,FALSE)</f>
        <v>MP-2, AC-19(5)</v>
      </c>
      <c r="S93" s="343">
        <f>VLOOKUP($B93,'Standards Crosswalk'!$A1:$I321,9,FALSE)</f>
        <v>12.8</v>
      </c>
      <c r="T93" s="181"/>
      <c r="U93" s="181"/>
      <c r="V93" s="181"/>
      <c r="W93" s="181"/>
      <c r="X93" s="181"/>
      <c r="Y93" s="181"/>
      <c r="Z93" s="6"/>
    </row>
    <row r="94" ht="72.0" customHeight="1">
      <c r="A94" s="334">
        <f t="shared" si="7"/>
        <v>92</v>
      </c>
      <c r="B94" s="335" t="s">
        <v>365</v>
      </c>
      <c r="C94" s="336" t="str">
        <f>VLOOKUP(B94,'HECVAT - Full'!A1:E312,2,FALSE)</f>
        <v>Do you employ or allow any cryptographic modules that do not conform to the Federal Information Processing Standards (FIPS PUB 140-2)?</v>
      </c>
      <c r="D94" s="358" t="str">
        <f>VLOOKUP(B94,'HECVAT - Full'!A1:E312,4,FALSE)</f>
        <v/>
      </c>
      <c r="E94" s="337" t="b">
        <f t="shared" si="8"/>
        <v>1</v>
      </c>
      <c r="F94" s="357" t="s">
        <v>3123</v>
      </c>
      <c r="G94" s="335" t="s">
        <v>85</v>
      </c>
      <c r="H94" s="338">
        <v>1.0</v>
      </c>
      <c r="I94" s="349" t="str">
        <f>VLOOKUP(B94,'HECVAT - Full'!A1:E312,3,FALSE)</f>
        <v>No</v>
      </c>
      <c r="J94" s="181">
        <f t="shared" si="33"/>
        <v>1</v>
      </c>
      <c r="K94" s="181">
        <f t="shared" ref="K94:K95" si="37">IF(H94=1,25,"")</f>
        <v>25</v>
      </c>
      <c r="L94" s="181">
        <f t="shared" si="6"/>
        <v>25</v>
      </c>
      <c r="M94" s="198" t="str">
        <f>VLOOKUP($B94,'Standards Crosswalk'!$A1:$H321,3,FALSE)</f>
        <v>CSC 13</v>
      </c>
      <c r="N94" s="198" t="str">
        <f>VLOOKUP($B94,'Standards Crosswalk'!$A1:$H321,4,FALSE)</f>
        <v/>
      </c>
      <c r="O94" s="198" t="str">
        <f>VLOOKUP($B94,'Standards Crosswalk'!$A1:$H321,5,FALSE)</f>
        <v>8.2.3, 10.1.1</v>
      </c>
      <c r="P94" s="198" t="str">
        <f>VLOOKUP($B94,'Standards Crosswalk'!$A1:$H321,6,FALSE)</f>
        <v/>
      </c>
      <c r="Q94" s="198" t="str">
        <f>VLOOKUP($B94,'Standards Crosswalk'!$A1:$H321,7,FALSE)</f>
        <v>3.8.6, 3.13.11</v>
      </c>
      <c r="R94" s="198" t="str">
        <f>VLOOKUP($B94,'Standards Crosswalk'!$A1:$H321,8,FALSE)</f>
        <v/>
      </c>
      <c r="S94" s="343">
        <f>VLOOKUP($B94,'Standards Crosswalk'!$A1:$I321,9,FALSE)</f>
        <v>12.1</v>
      </c>
      <c r="T94" s="181"/>
      <c r="U94" s="181"/>
      <c r="V94" s="181"/>
      <c r="W94" s="181"/>
      <c r="X94" s="181"/>
      <c r="Y94" s="181"/>
      <c r="Z94" s="6"/>
    </row>
    <row r="95" ht="86.25" customHeight="1">
      <c r="A95" s="334">
        <f t="shared" si="7"/>
        <v>93</v>
      </c>
      <c r="B95" s="335" t="s">
        <v>367</v>
      </c>
      <c r="C95" s="336" t="str">
        <f>VLOOKUP(B95,'HECVAT - Full'!A1:E312,2,FALSE)</f>
        <v>Does your system employ encryption technologies when transmitting sensitive information over TCP/IP networks (e.g., SSH, SSL/TLS, VPN)? (e.g. system-to-system and system-to-client)</v>
      </c>
      <c r="D95" s="358" t="str">
        <f>VLOOKUP(B95,'HECVAT - Full'!A1:E312,4,FALSE)</f>
        <v>All communicates in, out, and within LTIAAS use SSL</v>
      </c>
      <c r="E95" s="337" t="b">
        <f t="shared" si="8"/>
        <v>1</v>
      </c>
      <c r="F95" s="357" t="s">
        <v>3123</v>
      </c>
      <c r="G95" s="335" t="s">
        <v>90</v>
      </c>
      <c r="H95" s="338">
        <v>1.0</v>
      </c>
      <c r="I95" s="349" t="str">
        <f>VLOOKUP(B95,'HECVAT - Full'!A1:E312,3,FALSE)</f>
        <v>Yes</v>
      </c>
      <c r="J95" s="181">
        <f t="shared" si="33"/>
        <v>1</v>
      </c>
      <c r="K95" s="181">
        <f t="shared" si="37"/>
        <v>25</v>
      </c>
      <c r="L95" s="181">
        <f t="shared" si="6"/>
        <v>25</v>
      </c>
      <c r="M95" s="198" t="str">
        <f>VLOOKUP($B95,'Standards Crosswalk'!$A1:$H321,3,FALSE)</f>
        <v>CSC 13</v>
      </c>
      <c r="N95" s="198" t="str">
        <f>VLOOKUP($B95,'Standards Crosswalk'!$A1:$H321,4,FALSE)</f>
        <v/>
      </c>
      <c r="O95" s="198" t="str">
        <f>VLOOKUP($B95,'Standards Crosswalk'!$A1:$H321,5,FALSE)</f>
        <v>13.2</v>
      </c>
      <c r="P95" s="198" t="str">
        <f>VLOOKUP($B95,'Standards Crosswalk'!$A1:$H321,6,FALSE)</f>
        <v>PR.DS-2</v>
      </c>
      <c r="Q95" s="343" t="str">
        <f>VLOOKUP($B95,'Standards Crosswalk'!$A1:$H321,7,FALSE)</f>
        <v/>
      </c>
      <c r="R95" s="198" t="str">
        <f>VLOOKUP($B95,'Standards Crosswalk'!$A1:$H321,8,FALSE)</f>
        <v>PE-2, PE-3, PE-5, MP-5</v>
      </c>
      <c r="S95" s="198" t="str">
        <f>VLOOKUP($B95,'Standards Crosswalk'!$A1:$I321,9,FALSE)</f>
        <v>12.8, 4.1</v>
      </c>
      <c r="T95" s="181"/>
      <c r="U95" s="181"/>
      <c r="V95" s="181"/>
      <c r="W95" s="181"/>
      <c r="X95" s="181"/>
      <c r="Y95" s="181"/>
      <c r="Z95" s="6"/>
    </row>
    <row r="96" ht="43.5" customHeight="1">
      <c r="A96" s="334">
        <f t="shared" si="7"/>
        <v>94</v>
      </c>
      <c r="B96" s="335" t="s">
        <v>370</v>
      </c>
      <c r="C96" s="336" t="str">
        <f>VLOOKUP(B96,'HECVAT - Full'!A1:E312,2,FALSE)</f>
        <v>List all locations (i.e. city + datacenter name) where the institution's data will be stored?</v>
      </c>
      <c r="D96" s="334" t="str">
        <f>VLOOKUP(B96,'HECVAT - Full'!A1:E312,4,FALSE)</f>
        <v/>
      </c>
      <c r="E96" s="337" t="b">
        <f t="shared" si="8"/>
        <v>0</v>
      </c>
      <c r="F96" s="357" t="s">
        <v>3123</v>
      </c>
      <c r="G96" s="348"/>
      <c r="H96" s="338">
        <v>1.0</v>
      </c>
      <c r="I96" s="349" t="str">
        <f>VLOOKUP(B96,'HECVAT - Full'!A1:E312,3,FALSE)</f>
        <v>Google Cloud data centers in Iowa and Oklahoma. The Google Datachenter in South Carolina is used as a witness region for database consistency.</v>
      </c>
      <c r="J96" s="181">
        <f>IF(VLOOKUP(B96,'Analyst Report'!$A$41:$G$88,7,FALSE)="Yes",1,0)</f>
        <v>0</v>
      </c>
      <c r="K96" s="181">
        <f>IF(H96=1,20,"")</f>
        <v>20</v>
      </c>
      <c r="L96" s="181">
        <f t="shared" si="6"/>
        <v>0</v>
      </c>
      <c r="M96" s="198" t="str">
        <f>VLOOKUP($B96,'Standards Crosswalk'!$A1:$H321,3,FALSE)</f>
        <v>CSC 1</v>
      </c>
      <c r="N96" s="198" t="str">
        <f>VLOOKUP($B96,'Standards Crosswalk'!$A1:$H321,4,FALSE)</f>
        <v/>
      </c>
      <c r="O96" s="198" t="str">
        <f>VLOOKUP($B96,'Standards Crosswalk'!$A1:$H321,5,FALSE)</f>
        <v/>
      </c>
      <c r="P96" s="198" t="str">
        <f>VLOOKUP($B96,'Standards Crosswalk'!$A1:$H321,6,FALSE)</f>
        <v/>
      </c>
      <c r="Q96" s="198" t="str">
        <f>VLOOKUP($B96,'Standards Crosswalk'!$A1:$H321,7,FALSE)</f>
        <v>3.8.1</v>
      </c>
      <c r="R96" s="198" t="str">
        <f>VLOOKUP($B96,'Standards Crosswalk'!$A1:$H321,8,FALSE)</f>
        <v>MP-2</v>
      </c>
      <c r="S96" s="198" t="str">
        <f>VLOOKUP($B96,'Standards Crosswalk'!$A1:$I321,9,FALSE)</f>
        <v>12.8, 9.x</v>
      </c>
      <c r="T96" s="181"/>
      <c r="U96" s="181"/>
      <c r="V96" s="181"/>
      <c r="W96" s="181"/>
      <c r="X96" s="181"/>
      <c r="Y96" s="181"/>
      <c r="Z96" s="6"/>
    </row>
    <row r="97" ht="43.5" customHeight="1">
      <c r="A97" s="334">
        <f t="shared" si="7"/>
        <v>95</v>
      </c>
      <c r="B97" s="335" t="s">
        <v>374</v>
      </c>
      <c r="C97" s="336" t="str">
        <f>VLOOKUP(B97,'HECVAT - Full'!A1:E312,2,FALSE)</f>
        <v>At the completion of this contract, will data be returned to the institution?</v>
      </c>
      <c r="D97" s="358" t="str">
        <f>VLOOKUP(B97,'HECVAT - Full'!A1:E312,4,FALSE)</f>
        <v>We don't store any data beyond 24 hours.</v>
      </c>
      <c r="E97" s="337" t="b">
        <f t="shared" si="8"/>
        <v>1</v>
      </c>
      <c r="F97" s="357" t="s">
        <v>3123</v>
      </c>
      <c r="G97" s="335" t="s">
        <v>90</v>
      </c>
      <c r="H97" s="338">
        <v>1.0</v>
      </c>
      <c r="I97" s="349" t="str">
        <f>VLOOKUP(B97,'HECVAT - Full'!A1:E312,3,FALSE)</f>
        <v>No</v>
      </c>
      <c r="J97" s="181">
        <f t="shared" ref="J97:J102" si="38">IF(G97=I97,1,0)</f>
        <v>0</v>
      </c>
      <c r="K97" s="181">
        <f>IF(H97=1,25,"")</f>
        <v>25</v>
      </c>
      <c r="L97" s="181">
        <f t="shared" si="6"/>
        <v>0</v>
      </c>
      <c r="M97" s="198" t="str">
        <f>VLOOKUP($B97,'Standards Crosswalk'!$A1:$H321,3,FALSE)</f>
        <v>CSC 13</v>
      </c>
      <c r="N97" s="198" t="str">
        <f>VLOOKUP($B97,'Standards Crosswalk'!$A1:$H321,4,FALSE)</f>
        <v/>
      </c>
      <c r="O97" s="198" t="str">
        <f>VLOOKUP($B97,'Standards Crosswalk'!$A1:$H321,5,FALSE)</f>
        <v>8.1.4</v>
      </c>
      <c r="P97" s="198" t="str">
        <f>VLOOKUP($B97,'Standards Crosswalk'!$A1:$H321,6,FALSE)</f>
        <v/>
      </c>
      <c r="Q97" s="198" t="str">
        <f>VLOOKUP($B97,'Standards Crosswalk'!$A1:$H321,7,FALSE)</f>
        <v>3.8.1</v>
      </c>
      <c r="R97" s="198" t="str">
        <f>VLOOKUP($B97,'Standards Crosswalk'!$A1:$H321,8,FALSE)</f>
        <v>MP-2</v>
      </c>
      <c r="S97" s="343">
        <f>VLOOKUP($B97,'Standards Crosswalk'!$A1:$I321,9,FALSE)</f>
        <v>12.8</v>
      </c>
      <c r="T97" s="181"/>
      <c r="U97" s="181"/>
      <c r="V97" s="181"/>
      <c r="W97" s="181"/>
      <c r="X97" s="181"/>
      <c r="Y97" s="181"/>
      <c r="Z97" s="6"/>
    </row>
    <row r="98" ht="57.75" customHeight="1">
      <c r="A98" s="334">
        <f t="shared" si="7"/>
        <v>96</v>
      </c>
      <c r="B98" s="335" t="s">
        <v>377</v>
      </c>
      <c r="C98" s="336" t="str">
        <f>VLOOKUP(B98,'HECVAT - Full'!A1:E312,2,FALSE)</f>
        <v>Will the institution's data be available within the system for a period of time at the completion of this contract?</v>
      </c>
      <c r="D98" s="358" t="str">
        <f>VLOOKUP(B98,'HECVAT - Full'!A1:E312,4,FALSE)</f>
        <v>We don't store any data beyond 24 hours.</v>
      </c>
      <c r="E98" s="337" t="b">
        <f t="shared" si="8"/>
        <v>0</v>
      </c>
      <c r="F98" s="357" t="s">
        <v>3123</v>
      </c>
      <c r="G98" s="335" t="s">
        <v>90</v>
      </c>
      <c r="H98" s="338">
        <v>1.0</v>
      </c>
      <c r="I98" s="349" t="str">
        <f>VLOOKUP(B98,'HECVAT - Full'!A1:E312,3,FALSE)</f>
        <v>No</v>
      </c>
      <c r="J98" s="181">
        <f t="shared" si="38"/>
        <v>0</v>
      </c>
      <c r="K98" s="181">
        <f>IF(H98=1,20,"")</f>
        <v>20</v>
      </c>
      <c r="L98" s="181">
        <f t="shared" si="6"/>
        <v>0</v>
      </c>
      <c r="M98" s="198" t="str">
        <f>VLOOKUP($B98,'Standards Crosswalk'!$A1:$H321,3,FALSE)</f>
        <v>CSC 13</v>
      </c>
      <c r="N98" s="198" t="str">
        <f>VLOOKUP($B98,'Standards Crosswalk'!$A1:$H321,4,FALSE)</f>
        <v/>
      </c>
      <c r="O98" s="198" t="str">
        <f>VLOOKUP($B98,'Standards Crosswalk'!$A1:$H321,5,FALSE)</f>
        <v>8.1.4</v>
      </c>
      <c r="P98" s="198" t="str">
        <f>VLOOKUP($B98,'Standards Crosswalk'!$A1:$H321,6,FALSE)</f>
        <v/>
      </c>
      <c r="Q98" s="343" t="str">
        <f>VLOOKUP($B98,'Standards Crosswalk'!$A1:$H321,7,FALSE)</f>
        <v/>
      </c>
      <c r="R98" s="198" t="str">
        <f>VLOOKUP($B98,'Standards Crosswalk'!$A1:$H321,8,FALSE)</f>
        <v/>
      </c>
      <c r="S98" s="343">
        <f>VLOOKUP($B98,'Standards Crosswalk'!$A1:$I321,9,FALSE)</f>
        <v>12.8</v>
      </c>
      <c r="T98" s="181"/>
      <c r="U98" s="181"/>
      <c r="V98" s="181"/>
      <c r="W98" s="181"/>
      <c r="X98" s="181"/>
      <c r="Y98" s="181"/>
      <c r="Z98" s="6"/>
    </row>
    <row r="99" ht="29.25" customHeight="1">
      <c r="A99" s="334">
        <f t="shared" si="7"/>
        <v>97</v>
      </c>
      <c r="B99" s="335" t="s">
        <v>379</v>
      </c>
      <c r="C99" s="336" t="str">
        <f>VLOOKUP(B99,'HECVAT - Full'!A1:E312,2,FALSE)</f>
        <v>Can the institution extract a full backup of data?</v>
      </c>
      <c r="D99" s="358" t="str">
        <f>VLOOKUP(B99,'HECVAT - Full'!A1:E312,4,FALSE)</f>
        <v>We don't store any data beyond 24 hours. Even the data we do store would be useless to any institution</v>
      </c>
      <c r="E99" s="337" t="b">
        <f t="shared" si="8"/>
        <v>0</v>
      </c>
      <c r="F99" s="357" t="s">
        <v>3123</v>
      </c>
      <c r="G99" s="335" t="s">
        <v>90</v>
      </c>
      <c r="H99" s="338">
        <v>1.0</v>
      </c>
      <c r="I99" s="349" t="str">
        <f>VLOOKUP(B99,'HECVAT - Full'!A1:E312,3,FALSE)</f>
        <v>No</v>
      </c>
      <c r="J99" s="181">
        <f t="shared" si="38"/>
        <v>0</v>
      </c>
      <c r="K99" s="181">
        <f>IF(H99=1,15,"")</f>
        <v>15</v>
      </c>
      <c r="L99" s="181">
        <f t="shared" si="6"/>
        <v>0</v>
      </c>
      <c r="M99" s="198" t="str">
        <f>VLOOKUP($B99,'Standards Crosswalk'!$A1:$H321,3,FALSE)</f>
        <v/>
      </c>
      <c r="N99" s="198" t="str">
        <f>VLOOKUP($B99,'Standards Crosswalk'!$A1:$H321,4,FALSE)</f>
        <v/>
      </c>
      <c r="O99" s="198" t="str">
        <f>VLOOKUP($B99,'Standards Crosswalk'!$A1:$H321,5,FALSE)</f>
        <v>12.3.1</v>
      </c>
      <c r="P99" s="198" t="str">
        <f>VLOOKUP($B99,'Standards Crosswalk'!$A1:$H321,6,FALSE)</f>
        <v/>
      </c>
      <c r="Q99" s="343" t="str">
        <f>VLOOKUP($B99,'Standards Crosswalk'!$A1:$H321,7,FALSE)</f>
        <v/>
      </c>
      <c r="R99" s="198" t="str">
        <f>VLOOKUP($B99,'Standards Crosswalk'!$A1:$H321,8,FALSE)</f>
        <v/>
      </c>
      <c r="S99" s="343">
        <f>VLOOKUP($B99,'Standards Crosswalk'!$A1:$I321,9,FALSE)</f>
        <v>12.8</v>
      </c>
      <c r="T99" s="181"/>
      <c r="U99" s="181"/>
      <c r="V99" s="181"/>
      <c r="W99" s="181"/>
      <c r="X99" s="181"/>
      <c r="Y99" s="181"/>
      <c r="Z99" s="6"/>
    </row>
    <row r="100" ht="43.5" customHeight="1">
      <c r="A100" s="334">
        <f t="shared" si="7"/>
        <v>98</v>
      </c>
      <c r="B100" s="335" t="s">
        <v>382</v>
      </c>
      <c r="C100" s="336" t="str">
        <f>VLOOKUP(B100,'HECVAT - Full'!A1:E312,2,FALSE)</f>
        <v>Are ownership rights to all data, inputs, outputs, and metadata retained by the institution?</v>
      </c>
      <c r="D100" s="365" t="str">
        <f>VLOOKUP(B100,'HECVAT - Full'!A1:E312,4,FALSE)</f>
        <v>https://ltiaas.com/privacy-policy</v>
      </c>
      <c r="E100" s="337" t="b">
        <f t="shared" si="8"/>
        <v>1</v>
      </c>
      <c r="F100" s="357" t="s">
        <v>3123</v>
      </c>
      <c r="G100" s="335" t="s">
        <v>90</v>
      </c>
      <c r="H100" s="338">
        <v>1.0</v>
      </c>
      <c r="I100" s="349" t="str">
        <f>VLOOKUP(B100,'HECVAT - Full'!A1:E312,3,FALSE)</f>
        <v>Yes</v>
      </c>
      <c r="J100" s="181">
        <f t="shared" si="38"/>
        <v>1</v>
      </c>
      <c r="K100" s="181">
        <f>IF(H100=1,25,"")</f>
        <v>25</v>
      </c>
      <c r="L100" s="181">
        <f t="shared" si="6"/>
        <v>25</v>
      </c>
      <c r="M100" s="198" t="str">
        <f>VLOOKUP($B100,'Standards Crosswalk'!$A1:$H321,3,FALSE)</f>
        <v>CSC 13</v>
      </c>
      <c r="N100" s="198" t="str">
        <f>VLOOKUP($B100,'Standards Crosswalk'!$A1:$H321,4,FALSE)</f>
        <v/>
      </c>
      <c r="O100" s="198" t="str">
        <f>VLOOKUP($B100,'Standards Crosswalk'!$A1:$H321,5,FALSE)</f>
        <v>8.1.2</v>
      </c>
      <c r="P100" s="198" t="str">
        <f>VLOOKUP($B100,'Standards Crosswalk'!$A1:$H321,6,FALSE)</f>
        <v/>
      </c>
      <c r="Q100" s="198" t="str">
        <f>VLOOKUP($B100,'Standards Crosswalk'!$A1:$H321,7,FALSE)</f>
        <v>3.8.1</v>
      </c>
      <c r="R100" s="198" t="str">
        <f>VLOOKUP($B100,'Standards Crosswalk'!$A1:$H321,8,FALSE)</f>
        <v/>
      </c>
      <c r="S100" s="343">
        <f>VLOOKUP($B100,'Standards Crosswalk'!$A1:$I321,9,FALSE)</f>
        <v>12.8</v>
      </c>
      <c r="T100" s="181"/>
      <c r="U100" s="181"/>
      <c r="V100" s="181"/>
      <c r="W100" s="181"/>
      <c r="X100" s="181"/>
      <c r="Y100" s="181"/>
      <c r="Z100" s="6"/>
    </row>
    <row r="101" ht="43.5" customHeight="1">
      <c r="A101" s="334">
        <f t="shared" si="7"/>
        <v>99</v>
      </c>
      <c r="B101" s="335" t="s">
        <v>384</v>
      </c>
      <c r="C101" s="336" t="str">
        <f>VLOOKUP(B101,'HECVAT - Full'!A1:E312,2,FALSE)</f>
        <v>Are these rights retained even through a provider acquisition or bankruptcy event?</v>
      </c>
      <c r="D101" s="358" t="str">
        <f>VLOOKUP(B101,'HECVAT - Full'!A1:E312,4,FALSE)</f>
        <v/>
      </c>
      <c r="E101" s="337" t="b">
        <f t="shared" si="8"/>
        <v>0</v>
      </c>
      <c r="F101" s="357" t="s">
        <v>3123</v>
      </c>
      <c r="G101" s="335" t="s">
        <v>90</v>
      </c>
      <c r="H101" s="338">
        <f>IF(I100="Yes",1,0)</f>
        <v>1</v>
      </c>
      <c r="I101" s="349" t="str">
        <f>VLOOKUP(B101,'HECVAT - Full'!A1:E312,3,FALSE)</f>
        <v>Yes</v>
      </c>
      <c r="J101" s="181">
        <f t="shared" si="38"/>
        <v>1</v>
      </c>
      <c r="K101" s="181">
        <f>15*H101</f>
        <v>15</v>
      </c>
      <c r="L101" s="198">
        <f t="shared" si="6"/>
        <v>15</v>
      </c>
      <c r="M101" s="198" t="str">
        <f>VLOOKUP($B101,'Standards Crosswalk'!$A1:$H321,3,FALSE)</f>
        <v>CSC 13</v>
      </c>
      <c r="N101" s="198" t="str">
        <f>VLOOKUP($B101,'Standards Crosswalk'!$A1:$H321,4,FALSE)</f>
        <v/>
      </c>
      <c r="O101" s="198" t="str">
        <f>VLOOKUP($B101,'Standards Crosswalk'!$A1:$H321,5,FALSE)</f>
        <v>8.1.2</v>
      </c>
      <c r="P101" s="198" t="str">
        <f>VLOOKUP($B101,'Standards Crosswalk'!$A1:$H321,6,FALSE)</f>
        <v/>
      </c>
      <c r="Q101" s="198" t="str">
        <f>VLOOKUP($B101,'Standards Crosswalk'!$A1:$H321,7,FALSE)</f>
        <v>3.8.2</v>
      </c>
      <c r="R101" s="198" t="str">
        <f>VLOOKUP($B101,'Standards Crosswalk'!$A1:$H321,8,FALSE)</f>
        <v/>
      </c>
      <c r="S101" s="343">
        <f>VLOOKUP($B101,'Standards Crosswalk'!$A1:$I321,9,FALSE)</f>
        <v>12.8</v>
      </c>
      <c r="T101" s="181"/>
      <c r="U101" s="181"/>
      <c r="V101" s="181"/>
      <c r="W101" s="181"/>
      <c r="X101" s="181"/>
      <c r="Y101" s="181"/>
      <c r="Z101" s="6"/>
    </row>
    <row r="102" ht="86.25" customHeight="1">
      <c r="A102" s="334">
        <f t="shared" si="7"/>
        <v>100</v>
      </c>
      <c r="B102" s="335" t="s">
        <v>386</v>
      </c>
      <c r="C102" s="336" t="str">
        <f>VLOOKUP(B102,'HECVAT - Full'!A1:E312,2,FALSE)</f>
        <v>In the event of imminent bankruptcy, closing of business, or retirement of service, will you provide 90 days for customers to get their data out of the system and migrate applications?</v>
      </c>
      <c r="D102" s="358" t="str">
        <f>VLOOKUP(B102,'HECVAT - Full'!A1:E312,4,FALSE)</f>
        <v>Institutions would be notified via email</v>
      </c>
      <c r="E102" s="337" t="b">
        <f t="shared" si="8"/>
        <v>0</v>
      </c>
      <c r="F102" s="357" t="s">
        <v>3123</v>
      </c>
      <c r="G102" s="335" t="s">
        <v>90</v>
      </c>
      <c r="H102" s="338">
        <v>1.0</v>
      </c>
      <c r="I102" s="349" t="str">
        <f>VLOOKUP(B102,'HECVAT - Full'!A1:E312,3,FALSE)</f>
        <v>Yes</v>
      </c>
      <c r="J102" s="181">
        <f t="shared" si="38"/>
        <v>1</v>
      </c>
      <c r="K102" s="181">
        <f>IF(H102=1,15,"")</f>
        <v>15</v>
      </c>
      <c r="L102" s="181">
        <f t="shared" si="6"/>
        <v>15</v>
      </c>
      <c r="M102" s="198" t="str">
        <f>VLOOKUP($B102,'Standards Crosswalk'!$A1:$H321,3,FALSE)</f>
        <v>CAC 13</v>
      </c>
      <c r="N102" s="198" t="str">
        <f>VLOOKUP($B102,'Standards Crosswalk'!$A1:$H321,4,FALSE)</f>
        <v/>
      </c>
      <c r="O102" s="198" t="str">
        <f>VLOOKUP($B102,'Standards Crosswalk'!$A1:$H321,5,FALSE)</f>
        <v>8.1.2</v>
      </c>
      <c r="P102" s="198" t="str">
        <f>VLOOKUP($B102,'Standards Crosswalk'!$A1:$H321,6,FALSE)</f>
        <v/>
      </c>
      <c r="Q102" s="198" t="str">
        <f>VLOOKUP($B102,'Standards Crosswalk'!$A1:$H321,7,FALSE)</f>
        <v>3.8.1</v>
      </c>
      <c r="R102" s="198" t="str">
        <f>VLOOKUP($B102,'Standards Crosswalk'!$A1:$H321,8,FALSE)</f>
        <v/>
      </c>
      <c r="S102" s="343">
        <f>VLOOKUP($B102,'Standards Crosswalk'!$A1:$I321,9,FALSE)</f>
        <v>12.8</v>
      </c>
      <c r="T102" s="181"/>
      <c r="U102" s="181"/>
      <c r="V102" s="181"/>
      <c r="W102" s="181"/>
      <c r="X102" s="181"/>
      <c r="Y102" s="181"/>
      <c r="Z102" s="6"/>
    </row>
    <row r="103" ht="57.75" customHeight="1">
      <c r="A103" s="334">
        <f t="shared" si="7"/>
        <v>101</v>
      </c>
      <c r="B103" s="335" t="s">
        <v>389</v>
      </c>
      <c r="C103" s="336" t="str">
        <f>VLOOKUP(B103,'HECVAT - Full'!A1:E312,2,FALSE)</f>
        <v>Describe or provide a reference to the backup processes for the servers on which the service and/or data resides. </v>
      </c>
      <c r="D103" s="334" t="str">
        <f>VLOOKUP(B103,'HECVAT - Full'!A1:E312,4,FALSE)</f>
        <v/>
      </c>
      <c r="E103" s="337" t="b">
        <f t="shared" si="8"/>
        <v>0</v>
      </c>
      <c r="F103" s="357" t="s">
        <v>3123</v>
      </c>
      <c r="G103" s="348"/>
      <c r="H103" s="338">
        <v>1.0</v>
      </c>
      <c r="I103" s="349" t="str">
        <f>VLOOKUP(B103,'HECVAT - Full'!A1:E312,3,FALSE)</f>
        <v>Our backup strategy is two-pronged. The state of our services is contained in manifest files that can be easily and immediately redeployed. All data in our database is backed up daily. Backups are done with Google Cloud Storage and are automatically deleted after 30 days.</v>
      </c>
      <c r="J103" s="181">
        <f>IF(VLOOKUP(B103,'Analyst Report'!$A$41:$G$88,7,FALSE)="Yes",1,0)</f>
        <v>0</v>
      </c>
      <c r="K103" s="181">
        <f t="shared" ref="K103:K105" si="39">IF(H103=1,20,"")</f>
        <v>20</v>
      </c>
      <c r="L103" s="181">
        <f t="shared" si="6"/>
        <v>0</v>
      </c>
      <c r="M103" s="198" t="str">
        <f>VLOOKUP($B103,'Standards Crosswalk'!$A1:$H321,3,FALSE)</f>
        <v>CSC 10</v>
      </c>
      <c r="N103" s="198" t="str">
        <f>VLOOKUP($B103,'Standards Crosswalk'!$A1:$H321,4,FALSE)</f>
        <v/>
      </c>
      <c r="O103" s="198" t="str">
        <f>VLOOKUP($B103,'Standards Crosswalk'!$A1:$H321,5,FALSE)</f>
        <v>12.3.1</v>
      </c>
      <c r="P103" s="198" t="str">
        <f>VLOOKUP($B103,'Standards Crosswalk'!$A1:$H321,6,FALSE)</f>
        <v>PR.IP-4</v>
      </c>
      <c r="Q103" s="198" t="str">
        <f>VLOOKUP($B103,'Standards Crosswalk'!$A1:$H321,7,FALSE)</f>
        <v>3.8.9</v>
      </c>
      <c r="R103" s="198" t="str">
        <f>VLOOKUP($B103,'Standards Crosswalk'!$A1:$H321,8,FALSE)</f>
        <v>CP-9</v>
      </c>
      <c r="S103" s="198" t="str">
        <f>VLOOKUP($B103,'Standards Crosswalk'!$A1:$I321,9,FALSE)</f>
        <v>9.x</v>
      </c>
      <c r="T103" s="181"/>
      <c r="U103" s="181"/>
      <c r="V103" s="181"/>
      <c r="W103" s="181"/>
      <c r="X103" s="181"/>
      <c r="Y103" s="181"/>
      <c r="Z103" s="6"/>
    </row>
    <row r="104" ht="43.5" customHeight="1">
      <c r="A104" s="334">
        <f t="shared" si="7"/>
        <v>102</v>
      </c>
      <c r="B104" s="335" t="s">
        <v>393</v>
      </c>
      <c r="C104" s="336" t="str">
        <f>VLOOKUP(B104,'HECVAT - Full'!A1:E312,2,FALSE)</f>
        <v>Are backup copies made according to pre-defined schedules and securely stored and protected?</v>
      </c>
      <c r="D104" s="358" t="str">
        <f>VLOOKUP(B104,'HECVAT - Full'!A1:E312,4,FALSE)</f>
        <v>see DATA-14</v>
      </c>
      <c r="E104" s="337" t="b">
        <f t="shared" si="8"/>
        <v>0</v>
      </c>
      <c r="F104" s="357" t="s">
        <v>3123</v>
      </c>
      <c r="G104" s="335" t="s">
        <v>90</v>
      </c>
      <c r="H104" s="338">
        <v>1.0</v>
      </c>
      <c r="I104" s="349" t="str">
        <f>VLOOKUP(B104,'HECVAT - Full'!A1:E312,3,FALSE)</f>
        <v>Yes</v>
      </c>
      <c r="J104" s="181">
        <f>IF(G104=I104,1,0)</f>
        <v>1</v>
      </c>
      <c r="K104" s="181">
        <f t="shared" si="39"/>
        <v>20</v>
      </c>
      <c r="L104" s="181">
        <f t="shared" si="6"/>
        <v>20</v>
      </c>
      <c r="M104" s="198" t="str">
        <f>VLOOKUP($B104,'Standards Crosswalk'!$A1:$H321,3,FALSE)</f>
        <v>CSC 10</v>
      </c>
      <c r="N104" s="198" t="str">
        <f>VLOOKUP($B104,'Standards Crosswalk'!$A1:$H321,4,FALSE)</f>
        <v/>
      </c>
      <c r="O104" s="198" t="str">
        <f>VLOOKUP($B104,'Standards Crosswalk'!$A1:$H321,5,FALSE)</f>
        <v>12.3.1</v>
      </c>
      <c r="P104" s="198" t="str">
        <f>VLOOKUP($B104,'Standards Crosswalk'!$A1:$H321,6,FALSE)</f>
        <v>PR.IP-4</v>
      </c>
      <c r="Q104" s="198" t="str">
        <f>VLOOKUP($B104,'Standards Crosswalk'!$A1:$H321,7,FALSE)</f>
        <v>3.8.9</v>
      </c>
      <c r="R104" s="198" t="str">
        <f>VLOOKUP($B104,'Standards Crosswalk'!$A1:$H321,8,FALSE)</f>
        <v>CP-9</v>
      </c>
      <c r="S104" s="343">
        <f>VLOOKUP($B104,'Standards Crosswalk'!$A1:$I321,9,FALSE)</f>
        <v>12.8</v>
      </c>
      <c r="T104" s="181"/>
      <c r="U104" s="181"/>
      <c r="V104" s="181"/>
      <c r="W104" s="181"/>
      <c r="X104" s="181"/>
      <c r="Y104" s="181"/>
      <c r="Z104" s="6"/>
    </row>
    <row r="105" ht="15.0" customHeight="1">
      <c r="A105" s="334">
        <f t="shared" si="7"/>
        <v>103</v>
      </c>
      <c r="B105" s="335" t="s">
        <v>396</v>
      </c>
      <c r="C105" s="336" t="str">
        <f>VLOOKUP(B105,'HECVAT - Full'!A1:E312,2,FALSE)</f>
        <v>How long are data backups stored?</v>
      </c>
      <c r="D105" s="334" t="str">
        <f>VLOOKUP(B105,'HECVAT - Full'!A1:E312,4,FALSE)</f>
        <v/>
      </c>
      <c r="E105" s="337" t="b">
        <f t="shared" si="8"/>
        <v>0</v>
      </c>
      <c r="F105" s="357" t="s">
        <v>3123</v>
      </c>
      <c r="G105" s="348"/>
      <c r="H105" s="338">
        <v>1.0</v>
      </c>
      <c r="I105" s="349" t="str">
        <f>VLOOKUP(B105,'HECVAT - Full'!A1:E312,3,FALSE)</f>
        <v>30 days</v>
      </c>
      <c r="J105" s="181">
        <f>IF(VLOOKUP(B105,'Analyst Report'!$A$41:$G$88,7,FALSE)="Yes",1,0)</f>
        <v>0</v>
      </c>
      <c r="K105" s="181">
        <f t="shared" si="39"/>
        <v>20</v>
      </c>
      <c r="L105" s="181">
        <f t="shared" si="6"/>
        <v>0</v>
      </c>
      <c r="M105" s="198" t="str">
        <f>VLOOKUP($B105,'Standards Crosswalk'!$A1:$H321,3,FALSE)</f>
        <v>CSC 10</v>
      </c>
      <c r="N105" s="198" t="str">
        <f>VLOOKUP($B105,'Standards Crosswalk'!$A1:$H321,4,FALSE)</f>
        <v/>
      </c>
      <c r="O105" s="198" t="str">
        <f>VLOOKUP($B105,'Standards Crosswalk'!$A1:$H321,5,FALSE)</f>
        <v>12.3.1</v>
      </c>
      <c r="P105" s="198" t="str">
        <f>VLOOKUP($B105,'Standards Crosswalk'!$A1:$H321,6,FALSE)</f>
        <v>PR.IP-4</v>
      </c>
      <c r="Q105" s="198" t="str">
        <f>VLOOKUP($B105,'Standards Crosswalk'!$A1:$H321,7,FALSE)</f>
        <v>3.8.9</v>
      </c>
      <c r="R105" s="198" t="str">
        <f>VLOOKUP($B105,'Standards Crosswalk'!$A1:$H321,8,FALSE)</f>
        <v>CP-9</v>
      </c>
      <c r="S105" s="198" t="str">
        <f>VLOOKUP($B105,'Standards Crosswalk'!$A1:$I321,9,FALSE)</f>
        <v/>
      </c>
      <c r="T105" s="181"/>
      <c r="U105" s="181"/>
      <c r="V105" s="181"/>
      <c r="W105" s="181"/>
      <c r="X105" s="181"/>
      <c r="Y105" s="181"/>
      <c r="Z105" s="6"/>
    </row>
    <row r="106" ht="29.25" customHeight="1">
      <c r="A106" s="334">
        <f t="shared" si="7"/>
        <v>104</v>
      </c>
      <c r="B106" s="335" t="s">
        <v>400</v>
      </c>
      <c r="C106" s="336" t="str">
        <f>VLOOKUP(B106,'HECVAT - Full'!A1:E312,2,FALSE)</f>
        <v>Are data backups encrypted?</v>
      </c>
      <c r="D106" s="358" t="str">
        <f>VLOOKUP(B106,'HECVAT - Full'!A1:E312,4,FALSE)</f>
        <v>AES-128</v>
      </c>
      <c r="E106" s="337" t="b">
        <f t="shared" si="8"/>
        <v>1</v>
      </c>
      <c r="F106" s="357" t="s">
        <v>3123</v>
      </c>
      <c r="G106" s="335" t="s">
        <v>90</v>
      </c>
      <c r="H106" s="338">
        <v>1.0</v>
      </c>
      <c r="I106" s="349" t="str">
        <f>VLOOKUP(B106,'HECVAT - Full'!A1:E312,3,FALSE)</f>
        <v>Yes</v>
      </c>
      <c r="J106" s="181">
        <f t="shared" ref="J106:J124" si="40">IF(G106=I106,1,0)</f>
        <v>1</v>
      </c>
      <c r="K106" s="181">
        <f>IF(H106=1,25,"")</f>
        <v>25</v>
      </c>
      <c r="L106" s="181">
        <f t="shared" si="6"/>
        <v>25</v>
      </c>
      <c r="M106" s="198" t="str">
        <f>VLOOKUP($B106,'Standards Crosswalk'!$A1:$H321,3,FALSE)</f>
        <v>CSC 10</v>
      </c>
      <c r="N106" s="198" t="str">
        <f>VLOOKUP($B106,'Standards Crosswalk'!$A1:$H321,4,FALSE)</f>
        <v/>
      </c>
      <c r="O106" s="198" t="str">
        <f>VLOOKUP($B106,'Standards Crosswalk'!$A1:$H321,5,FALSE)</f>
        <v>12.3.1</v>
      </c>
      <c r="P106" s="198" t="str">
        <f>VLOOKUP($B106,'Standards Crosswalk'!$A1:$H321,6,FALSE)</f>
        <v>PR.DS-1, PR.IP-4</v>
      </c>
      <c r="Q106" s="198" t="str">
        <f>VLOOKUP($B106,'Standards Crosswalk'!$A1:$H321,7,FALSE)</f>
        <v>3.8.9</v>
      </c>
      <c r="R106" s="198" t="str">
        <f>VLOOKUP($B106,'Standards Crosswalk'!$A1:$H321,8,FALSE)</f>
        <v>CP-9</v>
      </c>
      <c r="S106" s="198" t="str">
        <f>VLOOKUP($B106,'Standards Crosswalk'!$A1:$I321,9,FALSE)</f>
        <v/>
      </c>
      <c r="T106" s="181"/>
      <c r="U106" s="181"/>
      <c r="V106" s="181"/>
      <c r="W106" s="181"/>
      <c r="X106" s="181"/>
      <c r="Y106" s="181"/>
      <c r="Z106" s="6"/>
    </row>
    <row r="107" ht="114.75" customHeight="1">
      <c r="A107" s="334">
        <f t="shared" si="7"/>
        <v>105</v>
      </c>
      <c r="B107" s="335" t="s">
        <v>403</v>
      </c>
      <c r="C107" s="336" t="str">
        <f>VLOOKUP(B107,'HECVAT - Full'!A1:E312,2,FALSE)</f>
        <v>Do you have a cryptographic key management process (generation, exchange, storage, safeguards, use, vetting, and replacement), that is documented and currently implemented, for all system components? (e.g. database, system, web, etc.)</v>
      </c>
      <c r="D107" s="334" t="str">
        <f>VLOOKUP(B107,'HECVAT - Full'!A1:E312,4,FALSE)</f>
        <v>This is documented here: https://ltiaas.com/compliance</v>
      </c>
      <c r="E107" s="337" t="b">
        <f t="shared" si="8"/>
        <v>0</v>
      </c>
      <c r="F107" s="357" t="s">
        <v>3123</v>
      </c>
      <c r="G107" s="335" t="s">
        <v>90</v>
      </c>
      <c r="H107" s="338">
        <v>1.0</v>
      </c>
      <c r="I107" s="349" t="str">
        <f>VLOOKUP(B107,'HECVAT - Full'!A1:E312,3,FALSE)</f>
        <v>Yes</v>
      </c>
      <c r="J107" s="181">
        <f t="shared" si="40"/>
        <v>1</v>
      </c>
      <c r="K107" s="181">
        <f>IF(H107=1,15,"")</f>
        <v>15</v>
      </c>
      <c r="L107" s="181">
        <f t="shared" si="6"/>
        <v>15</v>
      </c>
      <c r="M107" s="198" t="str">
        <f>VLOOKUP($B107,'Standards Crosswalk'!$A1:$H321,3,FALSE)</f>
        <v>CSC 10</v>
      </c>
      <c r="N107" s="198" t="str">
        <f>VLOOKUP($B107,'Standards Crosswalk'!$A1:$H321,4,FALSE)</f>
        <v/>
      </c>
      <c r="O107" s="198" t="str">
        <f>VLOOKUP($B107,'Standards Crosswalk'!$A1:$H321,5,FALSE)</f>
        <v>10.1.2</v>
      </c>
      <c r="P107" s="198" t="str">
        <f>VLOOKUP($B107,'Standards Crosswalk'!$A1:$H321,6,FALSE)</f>
        <v/>
      </c>
      <c r="Q107" s="198" t="str">
        <f>VLOOKUP($B107,'Standards Crosswalk'!$A1:$H321,7,FALSE)</f>
        <v>3.13.10</v>
      </c>
      <c r="R107" s="198" t="str">
        <f>VLOOKUP($B107,'Standards Crosswalk'!$A1:$H321,8,FALSE)</f>
        <v>SC-28, SC-13, FIPS PUB 140-2</v>
      </c>
      <c r="S107" s="198" t="str">
        <f>VLOOKUP($B107,'Standards Crosswalk'!$A1:$I321,9,FALSE)</f>
        <v/>
      </c>
      <c r="T107" s="181"/>
      <c r="U107" s="181"/>
      <c r="V107" s="181"/>
      <c r="W107" s="181"/>
      <c r="X107" s="181"/>
      <c r="Y107" s="181"/>
      <c r="Z107" s="6"/>
    </row>
    <row r="108" ht="43.5" customHeight="1">
      <c r="A108" s="334">
        <f t="shared" si="7"/>
        <v>106</v>
      </c>
      <c r="B108" s="335" t="s">
        <v>408</v>
      </c>
      <c r="C108" s="336" t="str">
        <f>VLOOKUP(B108,'HECVAT - Full'!A1:E312,2,FALSE)</f>
        <v>Are you performing off site backups? (i.e. digitally moved off site)</v>
      </c>
      <c r="D108" s="358" t="str">
        <f>VLOOKUP(B108,'HECVAT - Full'!A1:E312,4,FALSE)</f>
        <v>Yes</v>
      </c>
      <c r="E108" s="337" t="b">
        <f t="shared" si="8"/>
        <v>0</v>
      </c>
      <c r="F108" s="357" t="s">
        <v>3123</v>
      </c>
      <c r="G108" s="335" t="s">
        <v>90</v>
      </c>
      <c r="H108" s="338">
        <v>1.0</v>
      </c>
      <c r="I108" s="349" t="str">
        <f>VLOOKUP(B108,'HECVAT - Full'!A1:E312,3,FALSE)</f>
        <v>No</v>
      </c>
      <c r="J108" s="181">
        <f t="shared" si="40"/>
        <v>0</v>
      </c>
      <c r="K108" s="181">
        <f>IF(H108=1,10,"")</f>
        <v>10</v>
      </c>
      <c r="L108" s="181">
        <f t="shared" si="6"/>
        <v>0</v>
      </c>
      <c r="M108" s="198" t="str">
        <f>VLOOKUP($B108,'Standards Crosswalk'!$A1:$H321,3,FALSE)</f>
        <v>CSC 10</v>
      </c>
      <c r="N108" s="198" t="str">
        <f>VLOOKUP($B108,'Standards Crosswalk'!$A1:$H321,4,FALSE)</f>
        <v/>
      </c>
      <c r="O108" s="198" t="str">
        <f>VLOOKUP($B108,'Standards Crosswalk'!$A1:$H321,5,FALSE)</f>
        <v>12.3.1</v>
      </c>
      <c r="P108" s="198" t="str">
        <f>VLOOKUP($B108,'Standards Crosswalk'!$A1:$H321,6,FALSE)</f>
        <v>PR.IP-4</v>
      </c>
      <c r="Q108" s="198" t="str">
        <f>VLOOKUP($B108,'Standards Crosswalk'!$A1:$H321,7,FALSE)</f>
        <v>3.8.1, 3.8.9</v>
      </c>
      <c r="R108" s="198" t="str">
        <f>VLOOKUP($B108,'Standards Crosswalk'!$A1:$H321,8,FALSE)</f>
        <v>CP-9</v>
      </c>
      <c r="S108" s="198" t="str">
        <f>VLOOKUP($B108,'Standards Crosswalk'!$A1:$I321,9,FALSE)</f>
        <v>9.x</v>
      </c>
      <c r="T108" s="181"/>
      <c r="U108" s="181"/>
      <c r="V108" s="181"/>
      <c r="W108" s="181"/>
      <c r="X108" s="181"/>
      <c r="Y108" s="181"/>
      <c r="Z108" s="6"/>
    </row>
    <row r="109" ht="29.25" customHeight="1">
      <c r="A109" s="334">
        <f t="shared" si="7"/>
        <v>107</v>
      </c>
      <c r="B109" s="335" t="s">
        <v>410</v>
      </c>
      <c r="C109" s="336" t="str">
        <f>VLOOKUP(B109,'HECVAT - Full'!A1:E312,2,FALSE)</f>
        <v>Are physical backups taken off site? (i.e. physically moved off site)</v>
      </c>
      <c r="D109" s="358" t="str">
        <f>VLOOKUP(B109,'HECVAT - Full'!A1:E312,4,FALSE)</f>
        <v>We have no plans to implement physical backups</v>
      </c>
      <c r="E109" s="337" t="b">
        <f t="shared" si="8"/>
        <v>0</v>
      </c>
      <c r="F109" s="357" t="s">
        <v>3123</v>
      </c>
      <c r="G109" s="335" t="s">
        <v>90</v>
      </c>
      <c r="H109" s="338">
        <v>1.0</v>
      </c>
      <c r="I109" s="349" t="str">
        <f>VLOOKUP(B109,'HECVAT - Full'!A1:E312,3,FALSE)</f>
        <v>No</v>
      </c>
      <c r="J109" s="181">
        <f t="shared" si="40"/>
        <v>0</v>
      </c>
      <c r="K109" s="181">
        <f t="shared" ref="K109:K110" si="41">IF(H109=1,20,"")</f>
        <v>20</v>
      </c>
      <c r="L109" s="181">
        <f t="shared" si="6"/>
        <v>0</v>
      </c>
      <c r="M109" s="198" t="str">
        <f>VLOOKUP($B109,'Standards Crosswalk'!$A1:$H321,3,FALSE)</f>
        <v>CSC 10</v>
      </c>
      <c r="N109" s="198" t="str">
        <f>VLOOKUP($B109,'Standards Crosswalk'!$A1:$H321,4,FALSE)</f>
        <v/>
      </c>
      <c r="O109" s="198" t="str">
        <f>VLOOKUP($B109,'Standards Crosswalk'!$A1:$H321,5,FALSE)</f>
        <v>12.3.1</v>
      </c>
      <c r="P109" s="198" t="str">
        <f>VLOOKUP($B109,'Standards Crosswalk'!$A1:$H321,6,FALSE)</f>
        <v>PR.IP-4</v>
      </c>
      <c r="Q109" s="198" t="str">
        <f>VLOOKUP($B109,'Standards Crosswalk'!$A1:$H321,7,FALSE)</f>
        <v>3.8.1, 3.8.5, 3.8.9</v>
      </c>
      <c r="R109" s="198" t="str">
        <f>VLOOKUP($B109,'Standards Crosswalk'!$A1:$H321,8,FALSE)</f>
        <v>CP-9, MP-5</v>
      </c>
      <c r="S109" s="198" t="str">
        <f>VLOOKUP($B109,'Standards Crosswalk'!$A1:$I321,9,FALSE)</f>
        <v>9.x</v>
      </c>
      <c r="T109" s="181"/>
      <c r="U109" s="181"/>
      <c r="V109" s="181"/>
      <c r="W109" s="181"/>
      <c r="X109" s="181"/>
      <c r="Y109" s="181"/>
      <c r="Z109" s="6"/>
    </row>
    <row r="110" ht="57.75" customHeight="1">
      <c r="A110" s="334">
        <f t="shared" si="7"/>
        <v>108</v>
      </c>
      <c r="B110" s="335" t="s">
        <v>413</v>
      </c>
      <c r="C110" s="336" t="str">
        <f>VLOOKUP(B110,'HECVAT - Full'!A1:E312,2,FALSE)</f>
        <v>Do backups containing the institution's data ever leave the Institution's Data Zone either physically or via network routing?</v>
      </c>
      <c r="D110" s="358" t="str">
        <f>VLOOKUP(B110,'HECVAT - Full'!A1:E312,4,FALSE)</f>
        <v/>
      </c>
      <c r="E110" s="337" t="b">
        <f t="shared" si="8"/>
        <v>0</v>
      </c>
      <c r="F110" s="357" t="s">
        <v>3123</v>
      </c>
      <c r="G110" s="335" t="s">
        <v>85</v>
      </c>
      <c r="H110" s="338">
        <v>1.0</v>
      </c>
      <c r="I110" s="349" t="str">
        <f>VLOOKUP(B110,'HECVAT - Full'!A1:E312,3,FALSE)</f>
        <v>No</v>
      </c>
      <c r="J110" s="181">
        <f t="shared" si="40"/>
        <v>1</v>
      </c>
      <c r="K110" s="181">
        <f t="shared" si="41"/>
        <v>20</v>
      </c>
      <c r="L110" s="181">
        <f t="shared" si="6"/>
        <v>20</v>
      </c>
      <c r="M110" s="198" t="str">
        <f>VLOOKUP($B110,'Standards Crosswalk'!$A1:$H321,3,FALSE)</f>
        <v>CSC 13</v>
      </c>
      <c r="N110" s="198" t="str">
        <f>VLOOKUP($B110,'Standards Crosswalk'!$A1:$H321,4,FALSE)</f>
        <v/>
      </c>
      <c r="O110" s="198" t="str">
        <f>VLOOKUP($B110,'Standards Crosswalk'!$A1:$H321,5,FALSE)</f>
        <v>12.3.1</v>
      </c>
      <c r="P110" s="198" t="str">
        <f>VLOOKUP($B110,'Standards Crosswalk'!$A1:$H321,6,FALSE)</f>
        <v/>
      </c>
      <c r="Q110" s="198" t="str">
        <f>VLOOKUP($B110,'Standards Crosswalk'!$A1:$H321,7,FALSE)</f>
        <v>3.8.9</v>
      </c>
      <c r="R110" s="198" t="str">
        <f>VLOOKUP($B110,'Standards Crosswalk'!$A1:$H321,8,FALSE)</f>
        <v>CP-9, MP-5</v>
      </c>
      <c r="S110" s="343">
        <f>VLOOKUP($B110,'Standards Crosswalk'!$A1:$I321,9,FALSE)</f>
        <v>12.8</v>
      </c>
      <c r="T110" s="181"/>
      <c r="U110" s="181"/>
      <c r="V110" s="181"/>
      <c r="W110" s="181"/>
      <c r="X110" s="181"/>
      <c r="Y110" s="181"/>
      <c r="Z110" s="6"/>
    </row>
    <row r="111" ht="114.75" customHeight="1">
      <c r="A111" s="334">
        <f t="shared" si="7"/>
        <v>109</v>
      </c>
      <c r="B111" s="335" t="s">
        <v>415</v>
      </c>
      <c r="C111" s="336" t="str">
        <f>VLOOKUP(B111,'HECVAT - Full'!A1:E312,2,FALSE)</f>
        <v>Do you have a media handling process, that is documented and currently implemented, including end-of-life, repurposing, and data sanitization procedures?</v>
      </c>
      <c r="D111" s="334" t="str">
        <f>VLOOKUP(B111,'HECVAT - Full'!A1:E312,4,FALSE)</f>
        <v>This is handled by Google Cloud. They have a clear policy on this.</v>
      </c>
      <c r="E111" s="337" t="b">
        <f t="shared" si="8"/>
        <v>1</v>
      </c>
      <c r="F111" s="357" t="s">
        <v>3123</v>
      </c>
      <c r="G111" s="335" t="s">
        <v>90</v>
      </c>
      <c r="H111" s="338">
        <v>1.0</v>
      </c>
      <c r="I111" s="349" t="str">
        <f>VLOOKUP(B111,'HECVAT - Full'!A1:E312,3,FALSE)</f>
        <v>No</v>
      </c>
      <c r="J111" s="181">
        <f t="shared" si="40"/>
        <v>0</v>
      </c>
      <c r="K111" s="181">
        <f>IF(H111=1,25,"")</f>
        <v>25</v>
      </c>
      <c r="L111" s="181">
        <f t="shared" si="6"/>
        <v>0</v>
      </c>
      <c r="M111" s="198" t="str">
        <f>VLOOKUP($B111,'Standards Crosswalk'!$A1:$H321,3,FALSE)</f>
        <v>CSC 13</v>
      </c>
      <c r="N111" s="198" t="str">
        <f>VLOOKUP($B111,'Standards Crosswalk'!$A1:$H321,4,FALSE)</f>
        <v/>
      </c>
      <c r="O111" s="198" t="str">
        <f>VLOOKUP($B111,'Standards Crosswalk'!$A1:$H321,5,FALSE)</f>
        <v>8.3.1</v>
      </c>
      <c r="P111" s="198" t="str">
        <f>VLOOKUP($B111,'Standards Crosswalk'!$A1:$H321,6,FALSE)</f>
        <v>PR.DS-3</v>
      </c>
      <c r="Q111" s="198" t="str">
        <f>VLOOKUP($B111,'Standards Crosswalk'!$A1:$H321,7,FALSE)</f>
        <v>3.7.1, 3.7.2, 3.8.3</v>
      </c>
      <c r="R111" s="198" t="str">
        <f>VLOOKUP($B111,'Standards Crosswalk'!$A1:$H321,8,FALSE)</f>
        <v>CP-9 MP-6, NIST SP 800-60, NIST SP 800-88, AC-2, AC-6, IA-4, PM-2, PM-10, SI-5, MA-2, MA-3, MP-6</v>
      </c>
      <c r="S111" s="198" t="str">
        <f>VLOOKUP($B111,'Standards Crosswalk'!$A1:$I321,9,FALSE)</f>
        <v>9.x</v>
      </c>
      <c r="T111" s="181"/>
      <c r="U111" s="181"/>
      <c r="V111" s="181"/>
      <c r="W111" s="181"/>
      <c r="X111" s="181"/>
      <c r="Y111" s="181"/>
      <c r="Z111" s="6"/>
    </row>
    <row r="112" ht="43.5" customHeight="1">
      <c r="A112" s="334">
        <f t="shared" si="7"/>
        <v>110</v>
      </c>
      <c r="B112" s="335" t="s">
        <v>418</v>
      </c>
      <c r="C112" s="336" t="str">
        <f>VLOOKUP(B112,'HECVAT - Full'!A1:E312,2,FALSE)</f>
        <v>Does the process described in DATA-23 adhere to DoD 5220.22-M and/or NIST SP 800-88 standards?</v>
      </c>
      <c r="D112" s="358" t="str">
        <f>VLOOKUP(B112,'HECVAT - Full'!A1:E312,4,FALSE)</f>
        <v/>
      </c>
      <c r="E112" s="337" t="b">
        <f t="shared" si="8"/>
        <v>0</v>
      </c>
      <c r="F112" s="357" t="s">
        <v>3123</v>
      </c>
      <c r="G112" s="335" t="s">
        <v>90</v>
      </c>
      <c r="H112" s="338">
        <v>1.0</v>
      </c>
      <c r="I112" s="349" t="str">
        <f>VLOOKUP(B112,'HECVAT - Full'!A1:E312,3,FALSE)</f>
        <v>Yes</v>
      </c>
      <c r="J112" s="181">
        <f t="shared" si="40"/>
        <v>1</v>
      </c>
      <c r="K112" s="181">
        <f>IF(H112=1,15,"")</f>
        <v>15</v>
      </c>
      <c r="L112" s="181">
        <f t="shared" si="6"/>
        <v>15</v>
      </c>
      <c r="M112" s="198" t="str">
        <f>VLOOKUP($B112,'Standards Crosswalk'!$A1:$H321,3,FALSE)</f>
        <v>CSC 13</v>
      </c>
      <c r="N112" s="198" t="str">
        <f>VLOOKUP($B112,'Standards Crosswalk'!$A1:$H321,4,FALSE)</f>
        <v/>
      </c>
      <c r="O112" s="198" t="str">
        <f>VLOOKUP($B112,'Standards Crosswalk'!$A1:$H321,5,FALSE)</f>
        <v>8.3.1, 18.1.1</v>
      </c>
      <c r="P112" s="198" t="str">
        <f>VLOOKUP($B112,'Standards Crosswalk'!$A1:$H321,6,FALSE)</f>
        <v>PR.DS-3</v>
      </c>
      <c r="Q112" s="198" t="str">
        <f>VLOOKUP($B112,'Standards Crosswalk'!$A1:$H321,7,FALSE)</f>
        <v>3.7.3, 3.8.3,</v>
      </c>
      <c r="R112" s="198" t="str">
        <f>VLOOKUP($B112,'Standards Crosswalk'!$A1:$H321,8,FALSE)</f>
        <v>AC-2, AC-6, IA-4, PM-2, PM-10, SI-5, MA-2</v>
      </c>
      <c r="S112" s="198" t="str">
        <f>VLOOKUP($B112,'Standards Crosswalk'!$A1:$I321,9,FALSE)</f>
        <v/>
      </c>
      <c r="T112" s="181"/>
      <c r="U112" s="181"/>
      <c r="V112" s="181"/>
      <c r="W112" s="181"/>
      <c r="X112" s="181"/>
      <c r="Y112" s="181"/>
      <c r="Z112" s="6"/>
    </row>
    <row r="113" ht="57.75" customHeight="1">
      <c r="A113" s="334">
        <f t="shared" si="7"/>
        <v>111</v>
      </c>
      <c r="B113" s="335" t="s">
        <v>420</v>
      </c>
      <c r="C113" s="336" t="str">
        <f>VLOOKUP(B113,'HECVAT - Full'!A1:E312,2,FALSE)</f>
        <v>Do procedures exist to ensure that retention and destruction of data meets established business and regulatory requirements?</v>
      </c>
      <c r="D113" s="358" t="str">
        <f>VLOOKUP(B113,'HECVAT - Full'!A1:E312,4,FALSE)</f>
        <v>We don't retain customer data for longer than 24 hours. We have auto-deletion policies in our live databases. Batabase backups are auto-deleted after 30 days via a retention policy.</v>
      </c>
      <c r="E113" s="337" t="b">
        <f t="shared" si="8"/>
        <v>0</v>
      </c>
      <c r="F113" s="357" t="s">
        <v>3123</v>
      </c>
      <c r="G113" s="335" t="s">
        <v>90</v>
      </c>
      <c r="H113" s="338">
        <v>1.0</v>
      </c>
      <c r="I113" s="349" t="str">
        <f>VLOOKUP(B113,'HECVAT - Full'!A1:E312,3,FALSE)</f>
        <v>Yes</v>
      </c>
      <c r="J113" s="181">
        <f t="shared" si="40"/>
        <v>1</v>
      </c>
      <c r="K113" s="181">
        <f t="shared" ref="K113:K115" si="42">IF(H113=1,20,"")</f>
        <v>20</v>
      </c>
      <c r="L113" s="181">
        <f t="shared" si="6"/>
        <v>20</v>
      </c>
      <c r="M113" s="198" t="str">
        <f>VLOOKUP($B113,'Standards Crosswalk'!$A1:$H321,3,FALSE)</f>
        <v>CSC 13</v>
      </c>
      <c r="N113" s="198" t="str">
        <f>VLOOKUP($B113,'Standards Crosswalk'!$A1:$H321,4,FALSE)</f>
        <v/>
      </c>
      <c r="O113" s="198" t="str">
        <f>VLOOKUP($B113,'Standards Crosswalk'!$A1:$H321,5,FALSE)</f>
        <v>8.3.1, 18.1.1</v>
      </c>
      <c r="P113" s="198" t="str">
        <f>VLOOKUP($B113,'Standards Crosswalk'!$A1:$H321,6,FALSE)</f>
        <v>PR.DS-3, ID.GV-3</v>
      </c>
      <c r="Q113" s="198" t="str">
        <f>VLOOKUP($B113,'Standards Crosswalk'!$A1:$H321,7,FALSE)</f>
        <v>3.7.3, 3.8.3,</v>
      </c>
      <c r="R113" s="198" t="str">
        <f>VLOOKUP($B113,'Standards Crosswalk'!$A1:$H321,8,FALSE)</f>
        <v>SI-12, AC-2, AC-6, IA-4, PM-2, PM-10, SI-5, MA-2</v>
      </c>
      <c r="S113" s="198" t="str">
        <f>VLOOKUP($B113,'Standards Crosswalk'!$A1:$I321,9,FALSE)</f>
        <v/>
      </c>
      <c r="T113" s="181"/>
      <c r="U113" s="181"/>
      <c r="V113" s="181"/>
      <c r="W113" s="181"/>
      <c r="X113" s="181"/>
      <c r="Y113" s="181"/>
      <c r="Z113" s="6"/>
    </row>
    <row r="114" ht="72.0" customHeight="1">
      <c r="A114" s="334">
        <f t="shared" si="7"/>
        <v>112</v>
      </c>
      <c r="B114" s="335" t="s">
        <v>423</v>
      </c>
      <c r="C114" s="336" t="str">
        <f>VLOOKUP(B114,'HECVAT - Full'!A1:E312,2,FALSE)</f>
        <v>Is media used for long-term retention of business data and archival purposes stored in a secure, environmentally protected area?</v>
      </c>
      <c r="D114" s="334" t="str">
        <f>VLOOKUP(B114,'HECVAT - Full'!A1:E312,4,FALSE)</f>
        <v>This is handled by Google Cloud. They have a clear policy on this.</v>
      </c>
      <c r="E114" s="337" t="b">
        <f t="shared" si="8"/>
        <v>0</v>
      </c>
      <c r="F114" s="357" t="s">
        <v>3123</v>
      </c>
      <c r="G114" s="335" t="s">
        <v>90</v>
      </c>
      <c r="H114" s="338">
        <v>1.0</v>
      </c>
      <c r="I114" s="349" t="str">
        <f>VLOOKUP(B114,'HECVAT - Full'!A1:E312,3,FALSE)</f>
        <v>Yes</v>
      </c>
      <c r="J114" s="181">
        <f t="shared" si="40"/>
        <v>1</v>
      </c>
      <c r="K114" s="181">
        <f t="shared" si="42"/>
        <v>20</v>
      </c>
      <c r="L114" s="181">
        <f t="shared" si="6"/>
        <v>20</v>
      </c>
      <c r="M114" s="198" t="str">
        <f>VLOOKUP($B114,'Standards Crosswalk'!$A1:$H321,3,FALSE)</f>
        <v>CSC 13</v>
      </c>
      <c r="N114" s="198" t="str">
        <f>VLOOKUP($B114,'Standards Crosswalk'!$A1:$H321,4,FALSE)</f>
        <v/>
      </c>
      <c r="O114" s="198" t="str">
        <f>VLOOKUP($B114,'Standards Crosswalk'!$A1:$H321,5,FALSE)</f>
        <v>8.3.1, 18.1.1</v>
      </c>
      <c r="P114" s="198" t="str">
        <f>VLOOKUP($B114,'Standards Crosswalk'!$A1:$H321,6,FALSE)</f>
        <v>PR.DS-3</v>
      </c>
      <c r="Q114" s="198" t="str">
        <f>VLOOKUP($B114,'Standards Crosswalk'!$A1:$H321,7,FALSE)</f>
        <v>3.8.1, 3.8.2</v>
      </c>
      <c r="R114" s="198" t="str">
        <f>VLOOKUP($B114,'Standards Crosswalk'!$A1:$H321,8,FALSE)</f>
        <v>AC-2, AC-6, IA-4, PM-2, PM-10, SI-5</v>
      </c>
      <c r="S114" s="198" t="str">
        <f>VLOOKUP($B114,'Standards Crosswalk'!$A1:$I321,9,FALSE)</f>
        <v>12.8, 9.x</v>
      </c>
      <c r="T114" s="181"/>
      <c r="U114" s="181"/>
      <c r="V114" s="181"/>
      <c r="W114" s="181"/>
      <c r="X114" s="181"/>
      <c r="Y114" s="181"/>
      <c r="Z114" s="6"/>
    </row>
    <row r="115" ht="29.25" customHeight="1">
      <c r="A115" s="334">
        <f t="shared" si="7"/>
        <v>113</v>
      </c>
      <c r="B115" s="335" t="s">
        <v>425</v>
      </c>
      <c r="C115" s="336" t="str">
        <f>VLOOKUP(B115,'HECVAT - Full'!A1:E312,2,FALSE)</f>
        <v>Will you handle data in a FERPA compliant manner?</v>
      </c>
      <c r="D115" s="358" t="str">
        <f>VLOOKUP(B115,'HECVAT - Full'!A1:E312,4,FALSE)</f>
        <v>We don't store education data.</v>
      </c>
      <c r="E115" s="337" t="b">
        <f t="shared" si="8"/>
        <v>0</v>
      </c>
      <c r="F115" s="357" t="s">
        <v>3123</v>
      </c>
      <c r="G115" s="335" t="s">
        <v>90</v>
      </c>
      <c r="H115" s="338">
        <v>1.0</v>
      </c>
      <c r="I115" s="349" t="str">
        <f>VLOOKUP(B115,'HECVAT - Full'!A1:E312,3,FALSE)</f>
        <v>No</v>
      </c>
      <c r="J115" s="181">
        <f t="shared" si="40"/>
        <v>0</v>
      </c>
      <c r="K115" s="181">
        <f t="shared" si="42"/>
        <v>20</v>
      </c>
      <c r="L115" s="181">
        <f t="shared" si="6"/>
        <v>0</v>
      </c>
      <c r="M115" s="198" t="str">
        <f>VLOOKUP($B115,'Standards Crosswalk'!$A1:$H321,3,FALSE)</f>
        <v>CSC 13</v>
      </c>
      <c r="N115" s="198" t="str">
        <f>VLOOKUP($B115,'Standards Crosswalk'!$A1:$H321,4,FALSE)</f>
        <v/>
      </c>
      <c r="O115" s="198" t="str">
        <f>VLOOKUP($B115,'Standards Crosswalk'!$A1:$H321,5,FALSE)</f>
        <v>18.1.1</v>
      </c>
      <c r="P115" s="198" t="str">
        <f>VLOOKUP($B115,'Standards Crosswalk'!$A1:$H321,6,FALSE)</f>
        <v>ID.GV-3</v>
      </c>
      <c r="Q115" s="343" t="str">
        <f>VLOOKUP($B115,'Standards Crosswalk'!$A1:$H321,7,FALSE)</f>
        <v/>
      </c>
      <c r="R115" s="198" t="str">
        <f>VLOOKUP($B115,'Standards Crosswalk'!$A1:$H321,8,FALSE)</f>
        <v/>
      </c>
      <c r="S115" s="198" t="str">
        <f>VLOOKUP($B115,'Standards Crosswalk'!$A1:$I321,9,FALSE)</f>
        <v/>
      </c>
      <c r="T115" s="181"/>
      <c r="U115" s="181"/>
      <c r="V115" s="181"/>
      <c r="W115" s="181"/>
      <c r="X115" s="181"/>
      <c r="Y115" s="181"/>
      <c r="Z115" s="6"/>
    </row>
    <row r="116" ht="43.5" customHeight="1">
      <c r="A116" s="334">
        <f t="shared" si="7"/>
        <v>114</v>
      </c>
      <c r="B116" s="335" t="s">
        <v>428</v>
      </c>
      <c r="C116" s="336" t="str">
        <f>VLOOKUP(B116,'HECVAT - Full'!A1:E312,2,FALSE)</f>
        <v>Is any institution data visible in system administration modules/tools?</v>
      </c>
      <c r="D116" s="358" t="str">
        <f>VLOOKUP(B116,'HECVAT - Full'!A1:E312,4,FALSE)</f>
        <v/>
      </c>
      <c r="E116" s="337" t="b">
        <f t="shared" si="8"/>
        <v>1</v>
      </c>
      <c r="F116" s="357" t="s">
        <v>3123</v>
      </c>
      <c r="G116" s="335" t="s">
        <v>85</v>
      </c>
      <c r="H116" s="338">
        <v>1.0</v>
      </c>
      <c r="I116" s="349" t="str">
        <f>VLOOKUP(B116,'HECVAT - Full'!A1:E312,3,FALSE)</f>
        <v>No</v>
      </c>
      <c r="J116" s="181">
        <f t="shared" si="40"/>
        <v>1</v>
      </c>
      <c r="K116" s="181">
        <f t="shared" ref="K116:K118" si="43">IF(H116=1,25,"")</f>
        <v>25</v>
      </c>
      <c r="L116" s="181">
        <f t="shared" si="6"/>
        <v>25</v>
      </c>
      <c r="M116" s="198" t="str">
        <f>VLOOKUP($B116,'Standards Crosswalk'!$A1:$H321,3,FALSE)</f>
        <v>CSC 13, CSC 14</v>
      </c>
      <c r="N116" s="198" t="str">
        <f>VLOOKUP($B116,'Standards Crosswalk'!$A1:$H321,4,FALSE)</f>
        <v/>
      </c>
      <c r="O116" s="198" t="str">
        <f>VLOOKUP($B116,'Standards Crosswalk'!$A1:$H321,5,FALSE)</f>
        <v>14.2.5</v>
      </c>
      <c r="P116" s="198" t="str">
        <f>VLOOKUP($B116,'Standards Crosswalk'!$A1:$H321,6,FALSE)</f>
        <v>PR.AC-4</v>
      </c>
      <c r="Q116" s="343" t="str">
        <f>VLOOKUP($B116,'Standards Crosswalk'!$A1:$H321,7,FALSE)</f>
        <v/>
      </c>
      <c r="R116" s="198" t="str">
        <f>VLOOKUP($B116,'Standards Crosswalk'!$A1:$H321,8,FALSE)</f>
        <v/>
      </c>
      <c r="S116" s="198" t="str">
        <f>VLOOKUP($B116,'Standards Crosswalk'!$A1:$I321,9,FALSE)</f>
        <v/>
      </c>
      <c r="T116" s="181"/>
      <c r="U116" s="181"/>
      <c r="V116" s="181"/>
      <c r="W116" s="181"/>
      <c r="X116" s="181"/>
      <c r="Y116" s="181"/>
      <c r="Z116" s="6"/>
    </row>
    <row r="117" ht="43.5" customHeight="1">
      <c r="A117" s="334">
        <f t="shared" si="7"/>
        <v>115</v>
      </c>
      <c r="B117" s="335" t="s">
        <v>430</v>
      </c>
      <c r="C117" s="336" t="str">
        <f>VLOOKUP(B117,'HECVAT - Full'!A1:E312,2,FALSE)</f>
        <v>Does the database support encryption of specified data elements in storage?</v>
      </c>
      <c r="D117" s="358" t="str">
        <f>VLOOKUP(B117,'HECVAT - Full'!A1:E312,4,FALSE)</f>
        <v>We encrypt data at rest in our firestore database: https://firebase.google.com/support/privacy</v>
      </c>
      <c r="E117" s="337" t="b">
        <f t="shared" si="8"/>
        <v>1</v>
      </c>
      <c r="F117" s="357" t="s">
        <v>3124</v>
      </c>
      <c r="G117" s="335" t="s">
        <v>90</v>
      </c>
      <c r="H117" s="338">
        <v>1.0</v>
      </c>
      <c r="I117" s="349" t="str">
        <f>VLOOKUP(B117,'HECVAT - Full'!A1:E312,3,FALSE)</f>
        <v>Yes</v>
      </c>
      <c r="J117" s="181">
        <f t="shared" si="40"/>
        <v>1</v>
      </c>
      <c r="K117" s="181">
        <f t="shared" si="43"/>
        <v>25</v>
      </c>
      <c r="L117" s="181">
        <f t="shared" si="6"/>
        <v>25</v>
      </c>
      <c r="M117" s="198" t="str">
        <f>VLOOKUP($B117,'Standards Crosswalk'!$A1:$H321,3,FALSE)</f>
        <v>CSC 13</v>
      </c>
      <c r="N117" s="198" t="str">
        <f>VLOOKUP($B117,'Standards Crosswalk'!$A1:$H321,4,FALSE)</f>
        <v/>
      </c>
      <c r="O117" s="198" t="str">
        <f>VLOOKUP($B117,'Standards Crosswalk'!$A1:$H321,5,FALSE)</f>
        <v>10.1.1</v>
      </c>
      <c r="P117" s="198" t="str">
        <f>VLOOKUP($B117,'Standards Crosswalk'!$A1:$H321,6,FALSE)</f>
        <v>PR.DS-1</v>
      </c>
      <c r="Q117" s="343" t="str">
        <f>VLOOKUP($B117,'Standards Crosswalk'!$A1:$H321,7,FALSE)</f>
        <v/>
      </c>
      <c r="R117" s="198" t="str">
        <f>VLOOKUP($B117,'Standards Crosswalk'!$A1:$H321,8,FALSE)</f>
        <v/>
      </c>
      <c r="S117" s="198" t="str">
        <f>VLOOKUP($B117,'Standards Crosswalk'!$A1:$I321,9,FALSE)</f>
        <v/>
      </c>
      <c r="T117" s="181"/>
      <c r="U117" s="181"/>
      <c r="V117" s="181"/>
      <c r="W117" s="181"/>
      <c r="X117" s="181"/>
      <c r="Y117" s="181"/>
      <c r="Z117" s="6"/>
    </row>
    <row r="118" ht="29.25" customHeight="1">
      <c r="A118" s="334">
        <f t="shared" si="7"/>
        <v>116</v>
      </c>
      <c r="B118" s="335" t="s">
        <v>433</v>
      </c>
      <c r="C118" s="336" t="str">
        <f>VLOOKUP(B118,'HECVAT - Full'!A1:E312,2,FALSE)</f>
        <v>Do you currently use encryption in your database(s)?</v>
      </c>
      <c r="D118" s="358" t="str">
        <f>VLOOKUP(B118,'HECVAT - Full'!A1:E312,4,FALSE)</f>
        <v>We encrypt data at rest in our firestore database: https://firebase.google.com/support/privacy</v>
      </c>
      <c r="E118" s="337" t="b">
        <f t="shared" si="8"/>
        <v>1</v>
      </c>
      <c r="F118" s="357" t="s">
        <v>3124</v>
      </c>
      <c r="G118" s="335" t="s">
        <v>90</v>
      </c>
      <c r="H118" s="338">
        <v>1.0</v>
      </c>
      <c r="I118" s="349" t="str">
        <f>VLOOKUP(B118,'HECVAT - Full'!A1:E312,3,FALSE)</f>
        <v>Yes</v>
      </c>
      <c r="J118" s="181">
        <f t="shared" si="40"/>
        <v>1</v>
      </c>
      <c r="K118" s="181">
        <f t="shared" si="43"/>
        <v>25</v>
      </c>
      <c r="L118" s="181">
        <f t="shared" si="6"/>
        <v>25</v>
      </c>
      <c r="M118" s="198" t="str">
        <f>VLOOKUP($B118,'Standards Crosswalk'!$A1:$H321,3,FALSE)</f>
        <v>CSC 13</v>
      </c>
      <c r="N118" s="198" t="str">
        <f>VLOOKUP($B118,'Standards Crosswalk'!$A1:$H321,4,FALSE)</f>
        <v/>
      </c>
      <c r="O118" s="198" t="str">
        <f>VLOOKUP($B118,'Standards Crosswalk'!$A1:$H321,5,FALSE)</f>
        <v>10.1.1</v>
      </c>
      <c r="P118" s="198" t="str">
        <f>VLOOKUP($B118,'Standards Crosswalk'!$A1:$H321,6,FALSE)</f>
        <v>PR.DS-1, PR.DS-2</v>
      </c>
      <c r="Q118" s="343" t="str">
        <f>VLOOKUP($B118,'Standards Crosswalk'!$A1:$H321,7,FALSE)</f>
        <v/>
      </c>
      <c r="R118" s="198" t="str">
        <f>VLOOKUP($B118,'Standards Crosswalk'!$A1:$H321,8,FALSE)</f>
        <v/>
      </c>
      <c r="S118" s="198" t="str">
        <f>VLOOKUP($B118,'Standards Crosswalk'!$A1:$I321,9,FALSE)</f>
        <v/>
      </c>
      <c r="T118" s="181"/>
      <c r="U118" s="181"/>
      <c r="V118" s="181"/>
      <c r="W118" s="181"/>
      <c r="X118" s="181"/>
      <c r="Y118" s="181"/>
      <c r="Z118" s="6"/>
    </row>
    <row r="119" ht="43.5" customHeight="1">
      <c r="A119" s="334">
        <f t="shared" si="7"/>
        <v>117</v>
      </c>
      <c r="B119" s="335" t="s">
        <v>435</v>
      </c>
      <c r="C119" s="336" t="str">
        <f>VLOOKUP(B119,'HECVAT - Full'!A1:E312,2,FALSE)</f>
        <v>Does your company own the physical data center where the Institution's data will reside?</v>
      </c>
      <c r="D119" s="358" t="str">
        <f>VLOOKUP(B119,'HECVAT - Full'!A1:E312,4,FALSE)</f>
        <v/>
      </c>
      <c r="E119" s="337" t="b">
        <f t="shared" si="8"/>
        <v>0</v>
      </c>
      <c r="F119" s="357" t="s">
        <v>3125</v>
      </c>
      <c r="G119" s="335" t="s">
        <v>90</v>
      </c>
      <c r="H119" s="338">
        <v>1.0</v>
      </c>
      <c r="I119" s="349" t="str">
        <f>VLOOKUP(B119,'HECVAT - Full'!A1:E312,3,FALSE)</f>
        <v>No</v>
      </c>
      <c r="J119" s="181">
        <f t="shared" si="40"/>
        <v>0</v>
      </c>
      <c r="K119" s="181">
        <f t="shared" ref="K119:K121" si="44">IF(H119=1,15,"")</f>
        <v>15</v>
      </c>
      <c r="L119" s="181">
        <f t="shared" si="6"/>
        <v>0</v>
      </c>
      <c r="M119" s="198" t="str">
        <f>VLOOKUP($B119,'Standards Crosswalk'!$A1:$H321,3,FALSE)</f>
        <v>CSC 14</v>
      </c>
      <c r="N119" s="198" t="str">
        <f>VLOOKUP($B119,'Standards Crosswalk'!$A1:$H321,4,FALSE)</f>
        <v/>
      </c>
      <c r="O119" s="198" t="str">
        <f>VLOOKUP($B119,'Standards Crosswalk'!$A1:$H321,5,FALSE)</f>
        <v>11.1.1</v>
      </c>
      <c r="P119" s="198" t="str">
        <f>VLOOKUP($B119,'Standards Crosswalk'!$A1:$H321,6,FALSE)</f>
        <v>PR.AC-2, PR.IP-5</v>
      </c>
      <c r="Q119" s="343" t="str">
        <f>VLOOKUP($B119,'Standards Crosswalk'!$A1:$H321,7,FALSE)</f>
        <v/>
      </c>
      <c r="R119" s="198" t="str">
        <f>VLOOKUP($B119,'Standards Crosswalk'!$A1:$H321,8,FALSE)</f>
        <v/>
      </c>
      <c r="S119" s="198" t="str">
        <f>VLOOKUP($B119,'Standards Crosswalk'!$A1:$I321,9,FALSE)</f>
        <v>12.8, 9.x</v>
      </c>
      <c r="T119" s="181"/>
      <c r="U119" s="181"/>
      <c r="V119" s="181"/>
      <c r="W119" s="181"/>
      <c r="X119" s="181"/>
      <c r="Y119" s="181"/>
      <c r="Z119" s="6"/>
    </row>
    <row r="120" ht="29.25" customHeight="1">
      <c r="A120" s="334">
        <f t="shared" si="7"/>
        <v>118</v>
      </c>
      <c r="B120" s="335" t="s">
        <v>437</v>
      </c>
      <c r="C120" s="336" t="str">
        <f>VLOOKUP(B120,'HECVAT - Full'!A1:E312,2,FALSE)</f>
        <v>Does the hosting provider have a SOC 2 Type 2 report available?</v>
      </c>
      <c r="D120" s="365" t="str">
        <f>VLOOKUP(B120,'HECVAT - Full'!A1:E312,4,FALSE)</f>
        <v>https://cloud.google.com/security/compliance/soc-2</v>
      </c>
      <c r="E120" s="337" t="b">
        <f t="shared" si="8"/>
        <v>0</v>
      </c>
      <c r="F120" s="357" t="s">
        <v>3125</v>
      </c>
      <c r="G120" s="335" t="s">
        <v>90</v>
      </c>
      <c r="H120" s="338">
        <v>1.0</v>
      </c>
      <c r="I120" s="349" t="str">
        <f>VLOOKUP(B120,'HECVAT - Full'!A1:E312,3,FALSE)</f>
        <v>Yes</v>
      </c>
      <c r="J120" s="181">
        <f t="shared" si="40"/>
        <v>1</v>
      </c>
      <c r="K120" s="181">
        <f t="shared" si="44"/>
        <v>15</v>
      </c>
      <c r="L120" s="181">
        <f t="shared" si="6"/>
        <v>15</v>
      </c>
      <c r="M120" s="198" t="str">
        <f>VLOOKUP($B120,'Standards Crosswalk'!$A1:$H321,3,FALSE)</f>
        <v>CSC 13</v>
      </c>
      <c r="N120" s="198" t="str">
        <f>VLOOKUP($B120,'Standards Crosswalk'!$A1:$H321,4,FALSE)</f>
        <v/>
      </c>
      <c r="O120" s="198" t="str">
        <f>VLOOKUP($B120,'Standards Crosswalk'!$A1:$H321,5,FALSE)</f>
        <v>11.1.1</v>
      </c>
      <c r="P120" s="198" t="str">
        <f>VLOOKUP($B120,'Standards Crosswalk'!$A1:$H321,6,FALSE)</f>
        <v/>
      </c>
      <c r="Q120" s="343" t="str">
        <f>VLOOKUP($B120,'Standards Crosswalk'!$A1:$H321,7,FALSE)</f>
        <v/>
      </c>
      <c r="R120" s="198" t="str">
        <f>VLOOKUP($B120,'Standards Crosswalk'!$A1:$H321,8,FALSE)</f>
        <v/>
      </c>
      <c r="S120" s="198" t="str">
        <f>VLOOKUP($B120,'Standards Crosswalk'!$A1:$I321,9,FALSE)</f>
        <v/>
      </c>
      <c r="T120" s="181"/>
      <c r="U120" s="181"/>
      <c r="V120" s="181"/>
      <c r="W120" s="181"/>
      <c r="X120" s="181"/>
      <c r="Y120" s="181"/>
      <c r="Z120" s="6"/>
    </row>
    <row r="121" ht="43.5" customHeight="1">
      <c r="A121" s="334">
        <f t="shared" si="7"/>
        <v>119</v>
      </c>
      <c r="B121" s="335" t="s">
        <v>440</v>
      </c>
      <c r="C121" s="336" t="str">
        <f>VLOOKUP(B121,'HECVAT - Full'!A1:E312,2,FALSE)</f>
        <v>Are the data centers staffed 24 hours a day, seven days a week (i.e., 24x7x365)?</v>
      </c>
      <c r="D121" s="358" t="str">
        <f>VLOOKUP(B121,'HECVAT - Full'!A1:E312,4,FALSE)</f>
        <v/>
      </c>
      <c r="E121" s="337" t="b">
        <f t="shared" si="8"/>
        <v>0</v>
      </c>
      <c r="F121" s="357" t="s">
        <v>3125</v>
      </c>
      <c r="G121" s="335" t="s">
        <v>90</v>
      </c>
      <c r="H121" s="338">
        <v>1.0</v>
      </c>
      <c r="I121" s="349" t="str">
        <f>VLOOKUP(B121,'HECVAT - Full'!A1:E312,3,FALSE)</f>
        <v>Yes</v>
      </c>
      <c r="J121" s="181">
        <f t="shared" si="40"/>
        <v>1</v>
      </c>
      <c r="K121" s="181">
        <f t="shared" si="44"/>
        <v>15</v>
      </c>
      <c r="L121" s="181">
        <f t="shared" si="6"/>
        <v>15</v>
      </c>
      <c r="M121" s="198" t="str">
        <f>VLOOKUP($B121,'Standards Crosswalk'!$A1:$H321,3,FALSE)</f>
        <v>CSC 3</v>
      </c>
      <c r="N121" s="198" t="str">
        <f>VLOOKUP($B121,'Standards Crosswalk'!$A1:$H321,4,FALSE)</f>
        <v/>
      </c>
      <c r="O121" s="198" t="str">
        <f>VLOOKUP($B121,'Standards Crosswalk'!$A1:$H321,5,FALSE)</f>
        <v>17.2.1</v>
      </c>
      <c r="P121" s="198" t="str">
        <f>VLOOKUP($B121,'Standards Crosswalk'!$A1:$H321,6,FALSE)</f>
        <v/>
      </c>
      <c r="Q121" s="343" t="str">
        <f>VLOOKUP($B121,'Standards Crosswalk'!$A1:$H321,7,FALSE)</f>
        <v/>
      </c>
      <c r="R121" s="198" t="str">
        <f>VLOOKUP($B121,'Standards Crosswalk'!$A1:$H321,8,FALSE)</f>
        <v/>
      </c>
      <c r="S121" s="198" t="str">
        <f>VLOOKUP($B121,'Standards Crosswalk'!$A1:$I321,9,FALSE)</f>
        <v/>
      </c>
      <c r="T121" s="181"/>
      <c r="U121" s="181"/>
      <c r="V121" s="181"/>
      <c r="W121" s="181"/>
      <c r="X121" s="181"/>
      <c r="Y121" s="181"/>
      <c r="Z121" s="6"/>
    </row>
    <row r="122" ht="29.25" customHeight="1">
      <c r="A122" s="334">
        <f t="shared" si="7"/>
        <v>120</v>
      </c>
      <c r="B122" s="335" t="s">
        <v>442</v>
      </c>
      <c r="C122" s="336" t="str">
        <f>VLOOKUP(B122,'HECVAT - Full'!A1:E312,2,FALSE)</f>
        <v>Do any of your servers reside in a co-located data center?</v>
      </c>
      <c r="D122" s="358" t="str">
        <f>VLOOKUP(B122,'HECVAT - Full'!A1:E312,4,FALSE)</f>
        <v>we use cloud hosting only</v>
      </c>
      <c r="E122" s="337" t="b">
        <f t="shared" si="8"/>
        <v>1</v>
      </c>
      <c r="F122" s="357" t="s">
        <v>3125</v>
      </c>
      <c r="G122" s="335" t="s">
        <v>85</v>
      </c>
      <c r="H122" s="338">
        <v>1.0</v>
      </c>
      <c r="I122" s="349" t="str">
        <f>VLOOKUP(B122,'HECVAT - Full'!A1:E312,3,FALSE)</f>
        <v>No</v>
      </c>
      <c r="J122" s="181">
        <f t="shared" si="40"/>
        <v>1</v>
      </c>
      <c r="K122" s="181">
        <v>25.0</v>
      </c>
      <c r="L122" s="181">
        <f t="shared" si="6"/>
        <v>25</v>
      </c>
      <c r="M122" s="198" t="str">
        <f>VLOOKUP($B122,'Standards Crosswalk'!$A1:$H321,3,FALSE)</f>
        <v>CSC 3, CSC 14</v>
      </c>
      <c r="N122" s="198" t="str">
        <f>VLOOKUP($B122,'Standards Crosswalk'!$A1:$H321,4,FALSE)</f>
        <v/>
      </c>
      <c r="O122" s="198" t="str">
        <f>VLOOKUP($B122,'Standards Crosswalk'!$A1:$H321,5,FALSE)</f>
        <v/>
      </c>
      <c r="P122" s="198" t="str">
        <f>VLOOKUP($B122,'Standards Crosswalk'!$A1:$H321,6,FALSE)</f>
        <v/>
      </c>
      <c r="Q122" s="343" t="str">
        <f>VLOOKUP($B122,'Standards Crosswalk'!$A1:$H321,7,FALSE)</f>
        <v/>
      </c>
      <c r="R122" s="198" t="str">
        <f>VLOOKUP($B122,'Standards Crosswalk'!$A1:$H321,8,FALSE)</f>
        <v>AC-4</v>
      </c>
      <c r="S122" s="343">
        <f>VLOOKUP($B122,'Standards Crosswalk'!$A1:$I321,9,FALSE)</f>
        <v>12.8</v>
      </c>
      <c r="T122" s="181"/>
      <c r="U122" s="181"/>
      <c r="V122" s="181"/>
      <c r="W122" s="181"/>
      <c r="X122" s="181"/>
      <c r="Y122" s="181"/>
      <c r="Z122" s="6"/>
    </row>
    <row r="123" ht="57.75" customHeight="1">
      <c r="A123" s="334">
        <f t="shared" si="7"/>
        <v>121</v>
      </c>
      <c r="B123" s="335" t="s">
        <v>445</v>
      </c>
      <c r="C123" s="336" t="str">
        <f>VLOOKUP(B123,'HECVAT - Full'!A1:E312,2,FALSE)</f>
        <v>Are your servers separated from other companies via a physical barrier, such as a cage or hardened walls?</v>
      </c>
      <c r="D123" s="358" t="str">
        <f>VLOOKUP(B123,'HECVAT - Full'!A1:E312,4,FALSE)</f>
        <v>we use cloud hosting only</v>
      </c>
      <c r="E123" s="337" t="b">
        <f t="shared" si="8"/>
        <v>1</v>
      </c>
      <c r="F123" s="357" t="s">
        <v>3125</v>
      </c>
      <c r="G123" s="335" t="s">
        <v>90</v>
      </c>
      <c r="H123" s="338">
        <f>IF(I122="Yes",1,0)</f>
        <v>0</v>
      </c>
      <c r="I123" s="349" t="str">
        <f>VLOOKUP(B123,'HECVAT - Full'!A1:E312,3,FALSE)</f>
        <v>No</v>
      </c>
      <c r="J123" s="181">
        <f t="shared" si="40"/>
        <v>0</v>
      </c>
      <c r="K123" s="198" t="str">
        <f t="shared" ref="K123:K126" si="45">IF(H123=1,20,"")</f>
        <v/>
      </c>
      <c r="L123" s="198" t="str">
        <f t="shared" si="6"/>
        <v/>
      </c>
      <c r="M123" s="198" t="str">
        <f>VLOOKUP($B123,'Standards Crosswalk'!$A1:$H321,3,FALSE)</f>
        <v>CSC 3, CSC 14</v>
      </c>
      <c r="N123" s="198" t="str">
        <f>VLOOKUP($B123,'Standards Crosswalk'!$A1:$H321,4,FALSE)</f>
        <v/>
      </c>
      <c r="O123" s="198" t="str">
        <f>VLOOKUP($B123,'Standards Crosswalk'!$A1:$H321,5,FALSE)</f>
        <v>13.1.2</v>
      </c>
      <c r="P123" s="198" t="str">
        <f>VLOOKUP($B123,'Standards Crosswalk'!$A1:$H321,6,FALSE)</f>
        <v>PR.AC-2</v>
      </c>
      <c r="Q123" s="343" t="str">
        <f>VLOOKUP($B123,'Standards Crosswalk'!$A1:$H321,7,FALSE)</f>
        <v/>
      </c>
      <c r="R123" s="198" t="str">
        <f>VLOOKUP($B123,'Standards Crosswalk'!$A1:$H321,8,FALSE)</f>
        <v/>
      </c>
      <c r="S123" s="198" t="str">
        <f>VLOOKUP($B123,'Standards Crosswalk'!$A1:$I321,9,FALSE)</f>
        <v>9.x</v>
      </c>
      <c r="T123" s="181"/>
      <c r="U123" s="181"/>
      <c r="V123" s="181"/>
      <c r="W123" s="181"/>
      <c r="X123" s="181"/>
      <c r="Y123" s="181"/>
      <c r="Z123" s="6"/>
    </row>
    <row r="124" ht="57.75" customHeight="1">
      <c r="A124" s="334">
        <f t="shared" si="7"/>
        <v>122</v>
      </c>
      <c r="B124" s="335" t="s">
        <v>447</v>
      </c>
      <c r="C124" s="336" t="str">
        <f>VLOOKUP(B124,'HECVAT - Full'!A1:E312,2,FALSE)</f>
        <v>Does a physical barrier fully enclose the physical space preventing unauthorized physical contact with any of your devices?</v>
      </c>
      <c r="D124" s="358" t="str">
        <f>VLOOKUP(B124,'HECVAT - Full'!A1:E312,4,FALSE)</f>
        <v>Yes: https://cloud.google.com/security/compliance/soc-2</v>
      </c>
      <c r="E124" s="337" t="b">
        <f t="shared" si="8"/>
        <v>1</v>
      </c>
      <c r="F124" s="357" t="s">
        <v>3125</v>
      </c>
      <c r="G124" s="335" t="s">
        <v>90</v>
      </c>
      <c r="H124" s="338">
        <f>IF(I122="Yes",1,0)</f>
        <v>0</v>
      </c>
      <c r="I124" s="349" t="str">
        <f>VLOOKUP(B124,'HECVAT - Full'!A1:E312,3,FALSE)</f>
        <v>Yes</v>
      </c>
      <c r="J124" s="181">
        <f t="shared" si="40"/>
        <v>1</v>
      </c>
      <c r="K124" s="198" t="str">
        <f t="shared" si="45"/>
        <v/>
      </c>
      <c r="L124" s="198" t="str">
        <f t="shared" si="6"/>
        <v/>
      </c>
      <c r="M124" s="198" t="str">
        <f>VLOOKUP($B124,'Standards Crosswalk'!$A1:$H321,3,FALSE)</f>
        <v>CSC 14</v>
      </c>
      <c r="N124" s="198" t="str">
        <f>VLOOKUP($B124,'Standards Crosswalk'!$A1:$H321,4,FALSE)</f>
        <v/>
      </c>
      <c r="O124" s="198" t="str">
        <f>VLOOKUP($B124,'Standards Crosswalk'!$A1:$H321,5,FALSE)</f>
        <v>11.1.1, 11.1.2</v>
      </c>
      <c r="P124" s="198" t="str">
        <f>VLOOKUP($B124,'Standards Crosswalk'!$A1:$H321,6,FALSE)</f>
        <v>PR.AC-2</v>
      </c>
      <c r="Q124" s="198" t="str">
        <f>VLOOKUP($B124,'Standards Crosswalk'!$A1:$H321,7,FALSE)</f>
        <v>3.8.1, 3.8.2</v>
      </c>
      <c r="R124" s="198" t="str">
        <f>VLOOKUP($B124,'Standards Crosswalk'!$A1:$H321,8,FALSE)</f>
        <v/>
      </c>
      <c r="S124" s="198" t="str">
        <f>VLOOKUP($B124,'Standards Crosswalk'!$A1:$I321,9,FALSE)</f>
        <v>9.x</v>
      </c>
      <c r="T124" s="181"/>
      <c r="U124" s="181"/>
      <c r="V124" s="181"/>
      <c r="W124" s="181"/>
      <c r="X124" s="181"/>
      <c r="Y124" s="181"/>
      <c r="Z124" s="6"/>
    </row>
    <row r="125" ht="43.5" customHeight="1">
      <c r="A125" s="334">
        <f t="shared" si="7"/>
        <v>123</v>
      </c>
      <c r="B125" s="335" t="s">
        <v>450</v>
      </c>
      <c r="C125" s="336" t="str">
        <f>VLOOKUP(B125,'HECVAT - Full'!A1:E312,2,FALSE)</f>
        <v>Select the option that best describes the network segment that servers are connected to.</v>
      </c>
      <c r="D125" s="358" t="str">
        <f>VLOOKUP(B125,'HECVAT - Full'!A1:E312,4,FALSE)</f>
        <v/>
      </c>
      <c r="E125" s="337" t="b">
        <f t="shared" si="8"/>
        <v>0</v>
      </c>
      <c r="F125" s="357" t="s">
        <v>3125</v>
      </c>
      <c r="G125" s="335" t="s">
        <v>90</v>
      </c>
      <c r="H125" s="338">
        <v>1.0</v>
      </c>
      <c r="I125" s="349" t="str">
        <f>VLOOKUP(B125,'HECVAT - Full'!A1:E312,3,FALSE)</f>
        <v>Exclusive VLAN</v>
      </c>
      <c r="J125" s="181">
        <f>IF(VLOOKUP(B125,'Analyst Report'!$A$41:$G$88,7,FALSE)="Yes",1,0)</f>
        <v>0</v>
      </c>
      <c r="K125" s="181">
        <f t="shared" si="45"/>
        <v>20</v>
      </c>
      <c r="L125" s="181">
        <f t="shared" si="6"/>
        <v>0</v>
      </c>
      <c r="M125" s="198" t="str">
        <f>VLOOKUP($B125,'Standards Crosswalk'!$A1:$H321,3,FALSE)</f>
        <v>CSC 9</v>
      </c>
      <c r="N125" s="198" t="str">
        <f>VLOOKUP($B125,'Standards Crosswalk'!$A1:$H321,4,FALSE)</f>
        <v/>
      </c>
      <c r="O125" s="198" t="str">
        <f>VLOOKUP($B125,'Standards Crosswalk'!$A1:$H321,5,FALSE)</f>
        <v/>
      </c>
      <c r="P125" s="198" t="str">
        <f>VLOOKUP($B125,'Standards Crosswalk'!$A1:$H321,6,FALSE)</f>
        <v>PR.AC-5</v>
      </c>
      <c r="Q125" s="198" t="str">
        <f>VLOOKUP($B125,'Standards Crosswalk'!$A1:$H321,7,FALSE)</f>
        <v>3.1.3</v>
      </c>
      <c r="R125" s="198" t="str">
        <f>VLOOKUP($B125,'Standards Crosswalk'!$A1:$H321,8,FALSE)</f>
        <v/>
      </c>
      <c r="S125" s="198" t="str">
        <f>VLOOKUP($B125,'Standards Crosswalk'!$A1:$I321,9,FALSE)</f>
        <v/>
      </c>
      <c r="T125" s="181"/>
      <c r="U125" s="181"/>
      <c r="V125" s="181"/>
      <c r="W125" s="181"/>
      <c r="X125" s="181"/>
      <c r="Y125" s="181"/>
      <c r="Z125" s="6"/>
    </row>
    <row r="126" ht="43.5" customHeight="1">
      <c r="A126" s="334">
        <f t="shared" si="7"/>
        <v>124</v>
      </c>
      <c r="B126" s="335" t="s">
        <v>454</v>
      </c>
      <c r="C126" s="336" t="str">
        <f>VLOOKUP(B126,'HECVAT - Full'!A1:E312,2,FALSE)</f>
        <v>Does this data center operate outside of the Institution's Data Zone?</v>
      </c>
      <c r="D126" s="358" t="str">
        <f>VLOOKUP(B126,'HECVAT - Full'!A1:E312,4,FALSE)</f>
        <v>No</v>
      </c>
      <c r="E126" s="337" t="b">
        <f t="shared" si="8"/>
        <v>0</v>
      </c>
      <c r="F126" s="357" t="s">
        <v>3125</v>
      </c>
      <c r="G126" s="335" t="s">
        <v>85</v>
      </c>
      <c r="H126" s="338">
        <v>1.0</v>
      </c>
      <c r="I126" s="349" t="str">
        <f>VLOOKUP(B126,'HECVAT - Full'!A1:E312,3,FALSE)</f>
        <v>No</v>
      </c>
      <c r="J126" s="181">
        <f t="shared" ref="J126:J127" si="46">IF(G126=I126,1,0)</f>
        <v>1</v>
      </c>
      <c r="K126" s="181">
        <f t="shared" si="45"/>
        <v>20</v>
      </c>
      <c r="L126" s="181">
        <f t="shared" si="6"/>
        <v>20</v>
      </c>
      <c r="M126" s="198" t="str">
        <f>VLOOKUP($B126,'Standards Crosswalk'!$A1:$H321,3,FALSE)</f>
        <v>CSC 12</v>
      </c>
      <c r="N126" s="198" t="str">
        <f>VLOOKUP($B126,'Standards Crosswalk'!$A1:$H321,4,FALSE)</f>
        <v/>
      </c>
      <c r="O126" s="198" t="str">
        <f>VLOOKUP($B126,'Standards Crosswalk'!$A1:$H321,5,FALSE)</f>
        <v>18.1.1</v>
      </c>
      <c r="P126" s="198" t="str">
        <f>VLOOKUP($B126,'Standards Crosswalk'!$A1:$H321,6,FALSE)</f>
        <v/>
      </c>
      <c r="Q126" s="343" t="str">
        <f>VLOOKUP($B126,'Standards Crosswalk'!$A1:$H321,7,FALSE)</f>
        <v/>
      </c>
      <c r="R126" s="198" t="str">
        <f>VLOOKUP($B126,'Standards Crosswalk'!$A1:$H321,8,FALSE)</f>
        <v/>
      </c>
      <c r="S126" s="343">
        <f>VLOOKUP($B126,'Standards Crosswalk'!$A1:$I321,9,FALSE)</f>
        <v>12.8</v>
      </c>
      <c r="T126" s="181"/>
      <c r="U126" s="181"/>
      <c r="V126" s="181"/>
      <c r="W126" s="181"/>
      <c r="X126" s="181"/>
      <c r="Y126" s="181"/>
      <c r="Z126" s="6"/>
    </row>
    <row r="127" ht="29.25" customHeight="1">
      <c r="A127" s="334">
        <f t="shared" si="7"/>
        <v>125</v>
      </c>
      <c r="B127" s="335" t="s">
        <v>456</v>
      </c>
      <c r="C127" s="336" t="str">
        <f>VLOOKUP(B127,'HECVAT - Full'!A1:E312,2,FALSE)</f>
        <v>Will any institution data leave the Institution's Data Zone?</v>
      </c>
      <c r="D127" s="358" t="str">
        <f>VLOOKUP(B127,'HECVAT - Full'!A1:E312,4,FALSE)</f>
        <v/>
      </c>
      <c r="E127" s="337" t="b">
        <f t="shared" si="8"/>
        <v>1</v>
      </c>
      <c r="F127" s="357" t="s">
        <v>3125</v>
      </c>
      <c r="G127" s="335" t="s">
        <v>85</v>
      </c>
      <c r="H127" s="338">
        <v>1.0</v>
      </c>
      <c r="I127" s="349" t="str">
        <f>VLOOKUP(B127,'HECVAT - Full'!A1:E312,3,FALSE)</f>
        <v>No</v>
      </c>
      <c r="J127" s="181">
        <f t="shared" si="46"/>
        <v>1</v>
      </c>
      <c r="K127" s="181">
        <v>25.0</v>
      </c>
      <c r="L127" s="181">
        <f t="shared" si="6"/>
        <v>25</v>
      </c>
      <c r="M127" s="198" t="str">
        <f>VLOOKUP($B127,'Standards Crosswalk'!$A1:$H321,3,FALSE)</f>
        <v>CSC 12</v>
      </c>
      <c r="N127" s="198" t="str">
        <f>VLOOKUP($B127,'Standards Crosswalk'!$A1:$H321,4,FALSE)</f>
        <v/>
      </c>
      <c r="O127" s="198" t="str">
        <f>VLOOKUP($B127,'Standards Crosswalk'!$A1:$H321,5,FALSE)</f>
        <v>18.1.1</v>
      </c>
      <c r="P127" s="198" t="str">
        <f>VLOOKUP($B127,'Standards Crosswalk'!$A1:$H321,6,FALSE)</f>
        <v/>
      </c>
      <c r="Q127" s="343" t="str">
        <f>VLOOKUP($B127,'Standards Crosswalk'!$A1:$H321,7,FALSE)</f>
        <v/>
      </c>
      <c r="R127" s="198" t="str">
        <f>VLOOKUP($B127,'Standards Crosswalk'!$A1:$H321,8,FALSE)</f>
        <v/>
      </c>
      <c r="S127" s="343">
        <f>VLOOKUP($B127,'Standards Crosswalk'!$A1:$I321,9,FALSE)</f>
        <v>12.9</v>
      </c>
      <c r="T127" s="181"/>
      <c r="U127" s="181"/>
      <c r="V127" s="181"/>
      <c r="W127" s="181"/>
      <c r="X127" s="181"/>
      <c r="Y127" s="181"/>
      <c r="Z127" s="6"/>
    </row>
    <row r="128" ht="29.25" customHeight="1">
      <c r="A128" s="334">
        <f t="shared" si="7"/>
        <v>126</v>
      </c>
      <c r="B128" s="335" t="str">
        <f>IF(I127="Yes","DCTR-10","")</f>
        <v/>
      </c>
      <c r="C128" s="349" t="str">
        <f>VLOOKUP(B128,'HECVAT - Full'!A1:E312,2,FALSE)</f>
        <v>#N/A</v>
      </c>
      <c r="D128" s="334" t="str">
        <f>VLOOKUP(B128,'HECVAT - Full'!A1:E312,4,FALSE)</f>
        <v>#N/A</v>
      </c>
      <c r="E128" s="337" t="b">
        <f t="shared" si="8"/>
        <v>1</v>
      </c>
      <c r="F128" s="357" t="s">
        <v>3125</v>
      </c>
      <c r="G128" s="335" t="s">
        <v>85</v>
      </c>
      <c r="H128" s="338">
        <f>IF(I127="Yes",1,0)</f>
        <v>0</v>
      </c>
      <c r="I128" s="349" t="str">
        <f>VLOOKUP(B128,'HECVAT - Full'!A1:E312,3,FALSE)</f>
        <v>#N/A</v>
      </c>
      <c r="J128" s="181" t="str">
        <f>IF(VLOOKUP(B128,'Analyst Report'!$A$41:$G$88,7,FALSE)="Yes",1,0)</f>
        <v>#N/A</v>
      </c>
      <c r="K128" s="198" t="str">
        <f t="shared" ref="K128:K130" si="47">IF(H128=1,20,"")</f>
        <v/>
      </c>
      <c r="L128" s="198" t="str">
        <f t="shared" si="6"/>
        <v/>
      </c>
      <c r="M128" s="343" t="str">
        <f>VLOOKUP($B128,'Standards Crosswalk'!$A1:$H321,3,FALSE)</f>
        <v>#N/A</v>
      </c>
      <c r="N128" s="343" t="str">
        <f>VLOOKUP($B128,'Standards Crosswalk'!$A1:$H321,4,FALSE)</f>
        <v>#N/A</v>
      </c>
      <c r="O128" s="343" t="str">
        <f>VLOOKUP($B128,'Standards Crosswalk'!$A1:$H321,5,FALSE)</f>
        <v>#N/A</v>
      </c>
      <c r="P128" s="343" t="str">
        <f>VLOOKUP($B128,'Standards Crosswalk'!$A1:$H321,6,FALSE)</f>
        <v>#N/A</v>
      </c>
      <c r="Q128" s="343" t="str">
        <f>VLOOKUP($B128,'Standards Crosswalk'!$A1:$H321,7,FALSE)</f>
        <v>#N/A</v>
      </c>
      <c r="R128" s="343" t="str">
        <f>VLOOKUP($B128,'Standards Crosswalk'!$A1:$H321,8,FALSE)</f>
        <v>#N/A</v>
      </c>
      <c r="S128" s="343" t="str">
        <f>VLOOKUP($B128,'Standards Crosswalk'!$A1:$I321,9,FALSE)</f>
        <v>#N/A</v>
      </c>
      <c r="T128" s="181"/>
      <c r="U128" s="181"/>
      <c r="V128" s="181"/>
      <c r="W128" s="181"/>
      <c r="X128" s="181"/>
      <c r="Y128" s="181"/>
      <c r="Z128" s="6"/>
    </row>
    <row r="129" ht="29.25" customHeight="1">
      <c r="A129" s="334">
        <f t="shared" si="7"/>
        <v>127</v>
      </c>
      <c r="B129" s="335" t="s">
        <v>462</v>
      </c>
      <c r="C129" s="336" t="str">
        <f>VLOOKUP(B129,'HECVAT - Full'!A1:E312,2,FALSE)</f>
        <v>Are your primary and secondary data centers geographically diverse?</v>
      </c>
      <c r="D129" s="358" t="str">
        <f>VLOOKUP(B129,'HECVAT - Full'!A1:E312,4,FALSE)</f>
        <v>We only have one data center, but plan for redundency in about a year</v>
      </c>
      <c r="E129" s="337" t="b">
        <f t="shared" si="8"/>
        <v>0</v>
      </c>
      <c r="F129" s="357" t="s">
        <v>3125</v>
      </c>
      <c r="G129" s="335" t="s">
        <v>90</v>
      </c>
      <c r="H129" s="338">
        <v>1.0</v>
      </c>
      <c r="I129" s="349" t="str">
        <f>VLOOKUP(B129,'HECVAT - Full'!A1:E312,3,FALSE)</f>
        <v>No</v>
      </c>
      <c r="J129" s="181">
        <f t="shared" ref="J129:J130" si="48">IF(G129=I129,1,0)</f>
        <v>0</v>
      </c>
      <c r="K129" s="181">
        <f t="shared" si="47"/>
        <v>20</v>
      </c>
      <c r="L129" s="181">
        <f t="shared" si="6"/>
        <v>0</v>
      </c>
      <c r="M129" s="198" t="str">
        <f>VLOOKUP($B129,'Standards Crosswalk'!$A1:$H321,3,FALSE)</f>
        <v>CSC 10</v>
      </c>
      <c r="N129" s="198" t="str">
        <f>VLOOKUP($B129,'Standards Crosswalk'!$A1:$H321,4,FALSE)</f>
        <v/>
      </c>
      <c r="O129" s="198" t="str">
        <f>VLOOKUP($B129,'Standards Crosswalk'!$A1:$H321,5,FALSE)</f>
        <v>11.1.4</v>
      </c>
      <c r="P129" s="198" t="str">
        <f>VLOOKUP($B129,'Standards Crosswalk'!$A1:$H321,6,FALSE)</f>
        <v/>
      </c>
      <c r="Q129" s="343" t="str">
        <f>VLOOKUP($B129,'Standards Crosswalk'!$A1:$H321,7,FALSE)</f>
        <v/>
      </c>
      <c r="R129" s="198" t="str">
        <f>VLOOKUP($B129,'Standards Crosswalk'!$A1:$H321,8,FALSE)</f>
        <v/>
      </c>
      <c r="S129" s="343">
        <f>VLOOKUP($B129,'Standards Crosswalk'!$A1:$I321,9,FALSE)</f>
        <v>12.8</v>
      </c>
      <c r="T129" s="181"/>
      <c r="U129" s="181"/>
      <c r="V129" s="181"/>
      <c r="W129" s="181"/>
      <c r="X129" s="181"/>
      <c r="Y129" s="181"/>
      <c r="Z129" s="6"/>
    </row>
    <row r="130" ht="57.75" customHeight="1">
      <c r="A130" s="334">
        <f t="shared" si="7"/>
        <v>128</v>
      </c>
      <c r="B130" s="335" t="s">
        <v>465</v>
      </c>
      <c r="C130" s="336" t="str">
        <f>VLOOKUP(B130,'HECVAT - Full'!A1:E312,2,FALSE)</f>
        <v>If outsourced or co-located, is there a contract in place to prevent data from leaving the Institution's Data Zone?</v>
      </c>
      <c r="D130" s="358" t="str">
        <f>VLOOKUP(B130,'HECVAT - Full'!A1:E312,4,FALSE)</f>
        <v>Google Cloud has no mechinism to move our data.</v>
      </c>
      <c r="E130" s="337" t="b">
        <f t="shared" si="8"/>
        <v>0</v>
      </c>
      <c r="F130" s="357" t="s">
        <v>3125</v>
      </c>
      <c r="G130" s="335" t="s">
        <v>90</v>
      </c>
      <c r="H130" s="338">
        <v>1.0</v>
      </c>
      <c r="I130" s="349" t="str">
        <f>VLOOKUP(B130,'HECVAT - Full'!A1:E312,3,FALSE)</f>
        <v>Yes</v>
      </c>
      <c r="J130" s="181">
        <f t="shared" si="48"/>
        <v>1</v>
      </c>
      <c r="K130" s="181">
        <f t="shared" si="47"/>
        <v>20</v>
      </c>
      <c r="L130" s="181">
        <f t="shared" si="6"/>
        <v>20</v>
      </c>
      <c r="M130" s="198" t="str">
        <f>VLOOKUP($B130,'Standards Crosswalk'!$A1:$H321,3,FALSE)</f>
        <v>CSC 12</v>
      </c>
      <c r="N130" s="198" t="str">
        <f>VLOOKUP($B130,'Standards Crosswalk'!$A1:$H321,4,FALSE)</f>
        <v/>
      </c>
      <c r="O130" s="198" t="str">
        <f>VLOOKUP($B130,'Standards Crosswalk'!$A1:$H321,5,FALSE)</f>
        <v>18.1.1</v>
      </c>
      <c r="P130" s="198" t="str">
        <f>VLOOKUP($B130,'Standards Crosswalk'!$A1:$H321,6,FALSE)</f>
        <v/>
      </c>
      <c r="Q130" s="343" t="str">
        <f>VLOOKUP($B130,'Standards Crosswalk'!$A1:$H321,7,FALSE)</f>
        <v/>
      </c>
      <c r="R130" s="198" t="str">
        <f>VLOOKUP($B130,'Standards Crosswalk'!$A1:$H321,8,FALSE)</f>
        <v/>
      </c>
      <c r="S130" s="343">
        <f>VLOOKUP($B130,'Standards Crosswalk'!$A1:$I321,9,FALSE)</f>
        <v>12.8</v>
      </c>
      <c r="T130" s="181"/>
      <c r="U130" s="181"/>
      <c r="V130" s="181"/>
      <c r="W130" s="181"/>
      <c r="X130" s="181"/>
      <c r="Y130" s="181"/>
      <c r="Z130" s="6"/>
    </row>
    <row r="131" ht="43.5" customHeight="1">
      <c r="A131" s="334">
        <f t="shared" si="7"/>
        <v>129</v>
      </c>
      <c r="B131" s="335" t="s">
        <v>468</v>
      </c>
      <c r="C131" s="336" t="str">
        <f>VLOOKUP(B131,'HECVAT - Full'!A1:E312,2,FALSE)</f>
        <v>What Tier Level is your data center (per levels defined by the Uptime Institute)?</v>
      </c>
      <c r="D131" s="334" t="str">
        <f>VLOOKUP(B131,'HECVAT - Full'!A1:E312,4,FALSE)</f>
        <v/>
      </c>
      <c r="E131" s="337" t="b">
        <f t="shared" si="8"/>
        <v>0</v>
      </c>
      <c r="F131" s="357" t="s">
        <v>3125</v>
      </c>
      <c r="G131" s="335" t="s">
        <v>90</v>
      </c>
      <c r="H131" s="338">
        <v>1.0</v>
      </c>
      <c r="I131" s="349" t="str">
        <f>VLOOKUP(B131,'HECVAT - Full'!A1:E312,3,FALSE)</f>
        <v>Tier IV</v>
      </c>
      <c r="J131" s="181">
        <f>IF(VLOOKUP(B131,'Analyst Report'!$A$41:$G$88,7,FALSE)="Yes",1,0)</f>
        <v>0</v>
      </c>
      <c r="K131" s="181">
        <f>IF(H131=1,15,"")</f>
        <v>15</v>
      </c>
      <c r="L131" s="181">
        <f t="shared" si="6"/>
        <v>0</v>
      </c>
      <c r="M131" s="198" t="str">
        <f>VLOOKUP($B131,'Standards Crosswalk'!$A1:$H321,3,FALSE)</f>
        <v/>
      </c>
      <c r="N131" s="198" t="str">
        <f>VLOOKUP($B131,'Standards Crosswalk'!$A1:$H321,4,FALSE)</f>
        <v/>
      </c>
      <c r="O131" s="198" t="str">
        <f>VLOOKUP($B131,'Standards Crosswalk'!$A1:$H321,5,FALSE)</f>
        <v>17.1.1</v>
      </c>
      <c r="P131" s="198" t="str">
        <f>VLOOKUP($B131,'Standards Crosswalk'!$A1:$H321,6,FALSE)</f>
        <v/>
      </c>
      <c r="Q131" s="343" t="str">
        <f>VLOOKUP($B131,'Standards Crosswalk'!$A1:$H321,7,FALSE)</f>
        <v/>
      </c>
      <c r="R131" s="198" t="str">
        <f>VLOOKUP($B131,'Standards Crosswalk'!$A1:$H321,8,FALSE)</f>
        <v/>
      </c>
      <c r="S131" s="198" t="str">
        <f>VLOOKUP($B131,'Standards Crosswalk'!$A1:$I321,9,FALSE)</f>
        <v/>
      </c>
      <c r="T131" s="181"/>
      <c r="U131" s="181"/>
      <c r="V131" s="181"/>
      <c r="W131" s="181"/>
      <c r="X131" s="181"/>
      <c r="Y131" s="181"/>
      <c r="Z131" s="6"/>
    </row>
    <row r="132" ht="29.25" customHeight="1">
      <c r="A132" s="334">
        <f t="shared" si="7"/>
        <v>130</v>
      </c>
      <c r="B132" s="335" t="s">
        <v>472</v>
      </c>
      <c r="C132" s="336" t="str">
        <f>VLOOKUP(B132,'HECVAT - Full'!A1:E312,2,FALSE)</f>
        <v>Is the service hosted in a high availability environment?</v>
      </c>
      <c r="D132" s="358" t="str">
        <f>VLOOKUP(B132,'HECVAT - Full'!A1:E312,4,FALSE)</f>
        <v/>
      </c>
      <c r="E132" s="337" t="b">
        <f t="shared" si="8"/>
        <v>0</v>
      </c>
      <c r="F132" s="357" t="s">
        <v>3125</v>
      </c>
      <c r="G132" s="335" t="s">
        <v>90</v>
      </c>
      <c r="H132" s="338">
        <v>1.0</v>
      </c>
      <c r="I132" s="349" t="str">
        <f>VLOOKUP(B132,'HECVAT - Full'!A1:E312,3,FALSE)</f>
        <v>Yes</v>
      </c>
      <c r="J132" s="181">
        <f t="shared" ref="J132:J134" si="49">IF(G132=I132,1,0)</f>
        <v>1</v>
      </c>
      <c r="K132" s="181">
        <f t="shared" ref="K132:K137" si="50">IF(H132=1,20,"")</f>
        <v>20</v>
      </c>
      <c r="L132" s="181">
        <f t="shared" si="6"/>
        <v>20</v>
      </c>
      <c r="M132" s="198" t="str">
        <f>VLOOKUP($B132,'Standards Crosswalk'!$A1:$H321,3,FALSE)</f>
        <v>CSC 10</v>
      </c>
      <c r="N132" s="198" t="str">
        <f>VLOOKUP($B132,'Standards Crosswalk'!$A1:$H321,4,FALSE)</f>
        <v/>
      </c>
      <c r="O132" s="198" t="str">
        <f>VLOOKUP($B132,'Standards Crosswalk'!$A1:$H321,5,FALSE)</f>
        <v>17.1.1</v>
      </c>
      <c r="P132" s="198" t="str">
        <f>VLOOKUP($B132,'Standards Crosswalk'!$A1:$H321,6,FALSE)</f>
        <v>PR.DS-4</v>
      </c>
      <c r="Q132" s="343" t="str">
        <f>VLOOKUP($B132,'Standards Crosswalk'!$A1:$H321,7,FALSE)</f>
        <v/>
      </c>
      <c r="R132" s="198" t="str">
        <f>VLOOKUP($B132,'Standards Crosswalk'!$A1:$H321,8,FALSE)</f>
        <v/>
      </c>
      <c r="S132" s="198" t="str">
        <f>VLOOKUP($B132,'Standards Crosswalk'!$A1:$I321,9,FALSE)</f>
        <v/>
      </c>
      <c r="T132" s="181"/>
      <c r="U132" s="181"/>
      <c r="V132" s="181"/>
      <c r="W132" s="181"/>
      <c r="X132" s="181"/>
      <c r="Y132" s="181"/>
      <c r="Z132" s="6"/>
    </row>
    <row r="133" ht="43.5" customHeight="1">
      <c r="A133" s="334">
        <f t="shared" si="7"/>
        <v>131</v>
      </c>
      <c r="B133" s="335" t="s">
        <v>474</v>
      </c>
      <c r="C133" s="336" t="str">
        <f>VLOOKUP(B133,'HECVAT - Full'!A1:E312,2,FALSE)</f>
        <v>Is redundant power available for all datacenters where institution data will reside? </v>
      </c>
      <c r="D133" s="358" t="str">
        <f>VLOOKUP(B133,'HECVAT - Full'!A1:E312,4,FALSE)</f>
        <v/>
      </c>
      <c r="E133" s="337" t="b">
        <f t="shared" si="8"/>
        <v>0</v>
      </c>
      <c r="F133" s="357" t="s">
        <v>3125</v>
      </c>
      <c r="G133" s="335" t="s">
        <v>90</v>
      </c>
      <c r="H133" s="338">
        <v>1.0</v>
      </c>
      <c r="I133" s="349" t="str">
        <f>VLOOKUP(B133,'HECVAT - Full'!A1:E312,3,FALSE)</f>
        <v>Yes</v>
      </c>
      <c r="J133" s="181">
        <f t="shared" si="49"/>
        <v>1</v>
      </c>
      <c r="K133" s="181">
        <f t="shared" si="50"/>
        <v>20</v>
      </c>
      <c r="L133" s="181">
        <f t="shared" si="6"/>
        <v>20</v>
      </c>
      <c r="M133" s="198" t="str">
        <f>VLOOKUP($B133,'Standards Crosswalk'!$A1:$H321,3,FALSE)</f>
        <v/>
      </c>
      <c r="N133" s="198" t="str">
        <f>VLOOKUP($B133,'Standards Crosswalk'!$A1:$H321,4,FALSE)</f>
        <v/>
      </c>
      <c r="O133" s="198" t="str">
        <f>VLOOKUP($B133,'Standards Crosswalk'!$A1:$H321,5,FALSE)</f>
        <v>17.2.1</v>
      </c>
      <c r="P133" s="198" t="str">
        <f>VLOOKUP($B133,'Standards Crosswalk'!$A1:$H321,6,FALSE)</f>
        <v>PR.DS-4</v>
      </c>
      <c r="Q133" s="343" t="str">
        <f>VLOOKUP($B133,'Standards Crosswalk'!$A1:$H321,7,FALSE)</f>
        <v/>
      </c>
      <c r="R133" s="198" t="str">
        <f>VLOOKUP($B133,'Standards Crosswalk'!$A1:$H321,8,FALSE)</f>
        <v/>
      </c>
      <c r="S133" s="198" t="str">
        <f>VLOOKUP($B133,'Standards Crosswalk'!$A1:$I321,9,FALSE)</f>
        <v/>
      </c>
      <c r="T133" s="181"/>
      <c r="U133" s="181"/>
      <c r="V133" s="181"/>
      <c r="W133" s="181"/>
      <c r="X133" s="181"/>
      <c r="Y133" s="181"/>
      <c r="Z133" s="6"/>
    </row>
    <row r="134" ht="29.25" customHeight="1">
      <c r="A134" s="334">
        <f t="shared" si="7"/>
        <v>132</v>
      </c>
      <c r="B134" s="335" t="s">
        <v>476</v>
      </c>
      <c r="C134" s="336" t="str">
        <f>VLOOKUP(B134,'HECVAT - Full'!A1:E312,2,FALSE)</f>
        <v>Are redundant power strategies tested?</v>
      </c>
      <c r="D134" s="358" t="str">
        <f>VLOOKUP(B134,'HECVAT - Full'!A1:E312,4,FALSE)</f>
        <v/>
      </c>
      <c r="E134" s="337" t="b">
        <f t="shared" si="8"/>
        <v>0</v>
      </c>
      <c r="F134" s="357" t="s">
        <v>3125</v>
      </c>
      <c r="G134" s="335" t="s">
        <v>90</v>
      </c>
      <c r="H134" s="338">
        <f>IF(I133="Yes",1,0)</f>
        <v>1</v>
      </c>
      <c r="I134" s="349" t="str">
        <f>VLOOKUP(B134,'HECVAT - Full'!A1:E312,3,FALSE)</f>
        <v>Yes</v>
      </c>
      <c r="J134" s="181">
        <f t="shared" si="49"/>
        <v>1</v>
      </c>
      <c r="K134" s="198">
        <f t="shared" si="50"/>
        <v>20</v>
      </c>
      <c r="L134" s="198">
        <f t="shared" si="6"/>
        <v>20</v>
      </c>
      <c r="M134" s="198" t="str">
        <f>VLOOKUP($B134,'Standards Crosswalk'!$A1:$H321,3,FALSE)</f>
        <v/>
      </c>
      <c r="N134" s="198" t="str">
        <f>VLOOKUP($B134,'Standards Crosswalk'!$A1:$H321,4,FALSE)</f>
        <v/>
      </c>
      <c r="O134" s="198" t="str">
        <f>VLOOKUP($B134,'Standards Crosswalk'!$A1:$H321,5,FALSE)</f>
        <v>17.1.3</v>
      </c>
      <c r="P134" s="198" t="str">
        <f>VLOOKUP($B134,'Standards Crosswalk'!$A1:$H321,6,FALSE)</f>
        <v>PR.DS-4</v>
      </c>
      <c r="Q134" s="343" t="str">
        <f>VLOOKUP($B134,'Standards Crosswalk'!$A1:$H321,7,FALSE)</f>
        <v/>
      </c>
      <c r="R134" s="198" t="str">
        <f>VLOOKUP($B134,'Standards Crosswalk'!$A1:$H321,8,FALSE)</f>
        <v/>
      </c>
      <c r="S134" s="198" t="str">
        <f>VLOOKUP($B134,'Standards Crosswalk'!$A1:$I321,9,FALSE)</f>
        <v/>
      </c>
      <c r="T134" s="181"/>
      <c r="U134" s="181"/>
      <c r="V134" s="181"/>
      <c r="W134" s="181"/>
      <c r="X134" s="181"/>
      <c r="Y134" s="181"/>
      <c r="Z134" s="6"/>
    </row>
    <row r="135" ht="72.0" customHeight="1">
      <c r="A135" s="334">
        <f t="shared" si="7"/>
        <v>133</v>
      </c>
      <c r="B135" s="335" t="s">
        <v>478</v>
      </c>
      <c r="C135" s="336" t="str">
        <f>VLOOKUP(B135,'HECVAT - Full'!A1:E312,2,FALSE)</f>
        <v>Describe or provide a reference to the availability of cooling and fire suppression systems in all datacenters where institution data will reside.</v>
      </c>
      <c r="D135" s="334" t="str">
        <f>VLOOKUP(B135,'HECVAT - Full'!A1:E312,4,FALSE)</f>
        <v/>
      </c>
      <c r="E135" s="337" t="b">
        <f t="shared" si="8"/>
        <v>0</v>
      </c>
      <c r="F135" s="357" t="s">
        <v>3125</v>
      </c>
      <c r="G135" s="335" t="s">
        <v>90</v>
      </c>
      <c r="H135" s="338">
        <v>1.0</v>
      </c>
      <c r="I135" s="349" t="str">
        <f>VLOOKUP(B135,'HECVAT - Full'!A1:E312,3,FALSE)</f>
        <v>All data centers we use are SOC-2 compliant</v>
      </c>
      <c r="J135" s="181">
        <f>IF(VLOOKUP(B135,'Analyst Report'!$A$41:$H$88,7,FALSE)="Yes",1,0)</f>
        <v>0</v>
      </c>
      <c r="K135" s="181">
        <f t="shared" si="50"/>
        <v>20</v>
      </c>
      <c r="L135" s="181">
        <f t="shared" si="6"/>
        <v>0</v>
      </c>
      <c r="M135" s="198" t="str">
        <f>VLOOKUP($B135,'Standards Crosswalk'!$A1:$H321,3,FALSE)</f>
        <v/>
      </c>
      <c r="N135" s="198" t="str">
        <f>VLOOKUP($B135,'Standards Crosswalk'!$A1:$H321,4,FALSE)</f>
        <v/>
      </c>
      <c r="O135" s="198" t="str">
        <f>VLOOKUP($B135,'Standards Crosswalk'!$A1:$H321,5,FALSE)</f>
        <v>17.2.1</v>
      </c>
      <c r="P135" s="198" t="str">
        <f>VLOOKUP($B135,'Standards Crosswalk'!$A1:$H321,6,FALSE)</f>
        <v/>
      </c>
      <c r="Q135" s="343" t="str">
        <f>VLOOKUP($B135,'Standards Crosswalk'!$A1:$H321,7,FALSE)</f>
        <v/>
      </c>
      <c r="R135" s="198" t="str">
        <f>VLOOKUP($B135,'Standards Crosswalk'!$A1:$H321,8,FALSE)</f>
        <v>PE-2, PE-3, PE-5, PE-11, PE-13, PE-14</v>
      </c>
      <c r="S135" s="198" t="str">
        <f>VLOOKUP($B135,'Standards Crosswalk'!$A1:$I321,9,FALSE)</f>
        <v/>
      </c>
      <c r="T135" s="181"/>
      <c r="U135" s="181"/>
      <c r="V135" s="181"/>
      <c r="W135" s="181"/>
      <c r="X135" s="181"/>
      <c r="Y135" s="181"/>
      <c r="Z135" s="6"/>
    </row>
    <row r="136" ht="72.0" customHeight="1">
      <c r="A136" s="334">
        <f t="shared" si="7"/>
        <v>134</v>
      </c>
      <c r="B136" s="335" t="s">
        <v>482</v>
      </c>
      <c r="C136" s="336" t="str">
        <f>VLOOKUP(B136,'HECVAT - Full'!A1:E312,2,FALSE)</f>
        <v>State how many Internet Service Providers (ISPs) provide connectivity to each datacenter where the institution's data will reside. </v>
      </c>
      <c r="D136" s="334" t="str">
        <f>VLOOKUP(B136,'HECVAT - Full'!A1:E312,4,FALSE)</f>
        <v/>
      </c>
      <c r="E136" s="337" t="b">
        <f t="shared" si="8"/>
        <v>0</v>
      </c>
      <c r="F136" s="357" t="s">
        <v>3125</v>
      </c>
      <c r="G136" s="335" t="s">
        <v>90</v>
      </c>
      <c r="H136" s="338">
        <v>1.0</v>
      </c>
      <c r="I136" s="349" t="str">
        <f>VLOOKUP(B136,'HECVAT - Full'!A1:E312,3,FALSE)</f>
        <v>Unknown</v>
      </c>
      <c r="J136" s="181">
        <f>IF(VLOOKUP(B136,'Analyst Report'!$A$41:$H$88,7,FALSE)="Yes",1,0)</f>
        <v>0</v>
      </c>
      <c r="K136" s="181">
        <f t="shared" si="50"/>
        <v>20</v>
      </c>
      <c r="L136" s="181">
        <f t="shared" si="6"/>
        <v>0</v>
      </c>
      <c r="M136" s="198" t="str">
        <f>VLOOKUP($B136,'Standards Crosswalk'!$A1:$H321,3,FALSE)</f>
        <v>CSC 10</v>
      </c>
      <c r="N136" s="198" t="str">
        <f>VLOOKUP($B136,'Standards Crosswalk'!$A1:$H321,4,FALSE)</f>
        <v/>
      </c>
      <c r="O136" s="198" t="str">
        <f>VLOOKUP($B136,'Standards Crosswalk'!$A1:$H321,5,FALSE)</f>
        <v>17.2.1</v>
      </c>
      <c r="P136" s="198" t="str">
        <f>VLOOKUP($B136,'Standards Crosswalk'!$A1:$H321,6,FALSE)</f>
        <v>PR.DS-4</v>
      </c>
      <c r="Q136" s="343" t="str">
        <f>VLOOKUP($B136,'Standards Crosswalk'!$A1:$H321,7,FALSE)</f>
        <v/>
      </c>
      <c r="R136" s="198" t="str">
        <f>VLOOKUP($B136,'Standards Crosswalk'!$A1:$H321,8,FALSE)</f>
        <v>PE-2, PE-3, PE-5, PE-11, PE-13, PE-14</v>
      </c>
      <c r="S136" s="343">
        <f>VLOOKUP($B136,'Standards Crosswalk'!$A1:$I321,9,FALSE)</f>
        <v>12.8</v>
      </c>
      <c r="T136" s="181"/>
      <c r="U136" s="181"/>
      <c r="V136" s="181"/>
      <c r="W136" s="181"/>
      <c r="X136" s="181"/>
      <c r="Y136" s="181"/>
      <c r="Z136" s="6"/>
    </row>
    <row r="137" ht="72.0" customHeight="1">
      <c r="A137" s="334">
        <f t="shared" si="7"/>
        <v>135</v>
      </c>
      <c r="B137" s="335" t="s">
        <v>486</v>
      </c>
      <c r="C137" s="336" t="str">
        <f>VLOOKUP(B137,'HECVAT - Full'!A1:E312,2,FALSE)</f>
        <v>Does every datacenter where the Institution's data will reside have multiple telephone company or network provider entrances to the facility?</v>
      </c>
      <c r="D137" s="358" t="str">
        <f>VLOOKUP(B137,'HECVAT - Full'!A1:E312,4,FALSE)</f>
        <v>The data centers are Tier-4 SOC-2 compliant</v>
      </c>
      <c r="E137" s="337" t="b">
        <f t="shared" si="8"/>
        <v>0</v>
      </c>
      <c r="F137" s="357" t="s">
        <v>3125</v>
      </c>
      <c r="G137" s="335" t="s">
        <v>90</v>
      </c>
      <c r="H137" s="338">
        <v>1.0</v>
      </c>
      <c r="I137" s="349" t="str">
        <f>VLOOKUP(B137,'HECVAT - Full'!A1:E312,3,FALSE)</f>
        <v>Yes</v>
      </c>
      <c r="J137" s="181">
        <f>IF(G137=I137,1,0)</f>
        <v>1</v>
      </c>
      <c r="K137" s="181">
        <f t="shared" si="50"/>
        <v>20</v>
      </c>
      <c r="L137" s="181">
        <f t="shared" si="6"/>
        <v>20</v>
      </c>
      <c r="M137" s="198" t="str">
        <f>VLOOKUP($B137,'Standards Crosswalk'!$A1:$H321,3,FALSE)</f>
        <v>CSC 13</v>
      </c>
      <c r="N137" s="198" t="str">
        <f>VLOOKUP($B137,'Standards Crosswalk'!$A1:$H321,4,FALSE)</f>
        <v/>
      </c>
      <c r="O137" s="198" t="str">
        <f>VLOOKUP($B137,'Standards Crosswalk'!$A1:$H321,5,FALSE)</f>
        <v>17.2.1</v>
      </c>
      <c r="P137" s="198" t="str">
        <f>VLOOKUP($B137,'Standards Crosswalk'!$A1:$H321,6,FALSE)</f>
        <v>PR.DS-4</v>
      </c>
      <c r="Q137" s="343" t="str">
        <f>VLOOKUP($B137,'Standards Crosswalk'!$A1:$H321,7,FALSE)</f>
        <v/>
      </c>
      <c r="R137" s="198" t="str">
        <f>VLOOKUP($B137,'Standards Crosswalk'!$A1:$H321,8,FALSE)</f>
        <v>PE-2, PE-3, PE-5, PE-11, PE-13, PE-14</v>
      </c>
      <c r="S137" s="343">
        <f>VLOOKUP($B137,'Standards Crosswalk'!$A1:$I321,9,FALSE)</f>
        <v>12.8</v>
      </c>
      <c r="T137" s="181"/>
      <c r="U137" s="181"/>
      <c r="V137" s="181"/>
      <c r="W137" s="181"/>
      <c r="X137" s="181"/>
      <c r="Y137" s="181"/>
      <c r="Z137" s="6"/>
    </row>
    <row r="138" ht="43.5" customHeight="1">
      <c r="A138" s="334">
        <f t="shared" si="7"/>
        <v>136</v>
      </c>
      <c r="B138" s="335" t="s">
        <v>489</v>
      </c>
      <c r="C138" s="336" t="str">
        <f>VLOOKUP(B138,'HECVAT - Full'!A1:E312,2,FALSE)</f>
        <v>Describe or provide a reference to your Disaster Recovery Plan (DRP).</v>
      </c>
      <c r="D138" s="334" t="str">
        <f>VLOOKUP(B138,'HECVAT - Full'!A1:E312,4,FALSE)</f>
        <v/>
      </c>
      <c r="E138" s="337" t="b">
        <f t="shared" si="8"/>
        <v>1</v>
      </c>
      <c r="F138" s="357" t="s">
        <v>3137</v>
      </c>
      <c r="G138" s="335" t="s">
        <v>90</v>
      </c>
      <c r="H138" s="338">
        <v>1.0</v>
      </c>
      <c r="I138" s="349" t="str">
        <f>VLOOKUP(B138,'HECVAT - Full'!A1:E312,3,FALSE)</f>
        <v>We have a comprehensive disaster recovery plan that is available under NDA
Last Reviewed: Feb. 15, 2021
Table Of Contents:
1. INTRODUCTION
1.1 Overview
1.2 Purpose
1.3 Priorities
1.4 Objective
2. Roles and Responsibilities
3. Disaster Recovery Plan
3.1 Financial Resources
3.2 Data and Document Back Up
3.3 Client and Supplier Communication
3.4 Internal Communication
4. Action Plan
4.1 Key Personnel
4.2 Vital Data and Documents
4.3 Salvage of Original Infrastructure
4.4 Communication Strategy
4.5 Implement Temporary Transfer
4.5 Monitoring the Recovery Process
4.7 Recovery Time
5. Implementation
5.1 Day 1
5.2 Subsequent Days
"</v>
      </c>
      <c r="J138" s="181">
        <f>IF(VLOOKUP(B138,'Analyst Report'!$A$41:$H$88,7,FALSE)="Yes",1,0)</f>
        <v>0</v>
      </c>
      <c r="K138" s="181">
        <f>IF(H138=1,25,"")</f>
        <v>25</v>
      </c>
      <c r="L138" s="181">
        <f t="shared" si="6"/>
        <v>0</v>
      </c>
      <c r="M138" s="198" t="str">
        <f>VLOOKUP($B138,'Standards Crosswalk'!$A1:$H321,3,FALSE)</f>
        <v>CSC 10</v>
      </c>
      <c r="N138" s="198" t="str">
        <f>VLOOKUP($B138,'Standards Crosswalk'!$A1:$H321,4,FALSE)</f>
        <v/>
      </c>
      <c r="O138" s="198" t="str">
        <f>VLOOKUP($B138,'Standards Crosswalk'!$A1:$H321,5,FALSE)</f>
        <v>17.1.1</v>
      </c>
      <c r="P138" s="198" t="str">
        <f>VLOOKUP($B138,'Standards Crosswalk'!$A1:$H321,6,FALSE)</f>
        <v>PR.IP-9</v>
      </c>
      <c r="Q138" s="198" t="str">
        <f>VLOOKUP($B138,'Standards Crosswalk'!$A1:$H321,7,FALSE)</f>
        <v>3.12.2</v>
      </c>
      <c r="R138" s="198" t="str">
        <f>VLOOKUP($B138,'Standards Crosswalk'!$A1:$H321,8,FALSE)</f>
        <v>AC-5, CP-4, CP-10; NIST SP 800-34</v>
      </c>
      <c r="S138" s="343">
        <f>VLOOKUP($B138,'Standards Crosswalk'!$A1:$I321,9,FALSE)</f>
        <v>12.8</v>
      </c>
      <c r="T138" s="181"/>
      <c r="U138" s="181"/>
      <c r="V138" s="181"/>
      <c r="W138" s="181"/>
      <c r="X138" s="181"/>
      <c r="Y138" s="181"/>
      <c r="Z138" s="6"/>
    </row>
    <row r="139" ht="43.5" customHeight="1">
      <c r="A139" s="334">
        <f t="shared" si="7"/>
        <v>137</v>
      </c>
      <c r="B139" s="335" t="s">
        <v>493</v>
      </c>
      <c r="C139" s="336" t="str">
        <f>VLOOKUP(B139,'HECVAT - Full'!A1:E312,2,FALSE)</f>
        <v>Is an owner assigned who is responsible for the maintenance and review of the DRP?</v>
      </c>
      <c r="D139" s="358" t="str">
        <f>VLOOKUP(B139,'HECVAT - Full'!A1:E312,4,FALSE)</f>
        <v>CEO</v>
      </c>
      <c r="E139" s="337" t="b">
        <f t="shared" si="8"/>
        <v>0</v>
      </c>
      <c r="F139" s="357" t="s">
        <v>3137</v>
      </c>
      <c r="G139" s="335" t="s">
        <v>90</v>
      </c>
      <c r="H139" s="338">
        <v>1.0</v>
      </c>
      <c r="I139" s="349" t="str">
        <f>VLOOKUP(B139,'HECVAT - Full'!A1:E312,3,FALSE)</f>
        <v>Yes</v>
      </c>
      <c r="J139" s="181">
        <f t="shared" ref="J139:J145" si="51">IF(G139=I139,1,0)</f>
        <v>1</v>
      </c>
      <c r="K139" s="181">
        <f t="shared" ref="K139:K143" si="52">IF(H139=1,20,"")</f>
        <v>20</v>
      </c>
      <c r="L139" s="181">
        <f t="shared" si="6"/>
        <v>20</v>
      </c>
      <c r="M139" s="198" t="str">
        <f>VLOOKUP($B139,'Standards Crosswalk'!$A1:$H321,3,FALSE)</f>
        <v>CSC 10</v>
      </c>
      <c r="N139" s="198" t="str">
        <f>VLOOKUP($B139,'Standards Crosswalk'!$A1:$H321,4,FALSE)</f>
        <v/>
      </c>
      <c r="O139" s="198" t="str">
        <f>VLOOKUP($B139,'Standards Crosswalk'!$A1:$H321,5,FALSE)</f>
        <v>16.1.1, 17.1.1</v>
      </c>
      <c r="P139" s="198" t="str">
        <f>VLOOKUP($B139,'Standards Crosswalk'!$A1:$H321,6,FALSE)</f>
        <v>PR.IP-9</v>
      </c>
      <c r="Q139" s="198" t="str">
        <f>VLOOKUP($B139,'Standards Crosswalk'!$A1:$H321,7,FALSE)</f>
        <v>3.12.2</v>
      </c>
      <c r="R139" s="198" t="str">
        <f>VLOOKUP($B139,'Standards Crosswalk'!$A1:$H321,8,FALSE)</f>
        <v>AC-5, CP-4, CP-10; NIST SP 800-34</v>
      </c>
      <c r="S139" s="343">
        <f>VLOOKUP($B139,'Standards Crosswalk'!$A1:$I321,9,FALSE)</f>
        <v>12.8</v>
      </c>
      <c r="T139" s="181"/>
      <c r="U139" s="181"/>
      <c r="V139" s="181"/>
      <c r="W139" s="181"/>
      <c r="X139" s="181"/>
      <c r="Y139" s="181"/>
      <c r="Z139" s="6"/>
    </row>
    <row r="140" ht="43.5" customHeight="1">
      <c r="A140" s="334">
        <f t="shared" si="7"/>
        <v>138</v>
      </c>
      <c r="B140" s="335" t="s">
        <v>495</v>
      </c>
      <c r="C140" s="336" t="str">
        <f>VLOOKUP(B140,'HECVAT - Full'!A1:E312,2,FALSE)</f>
        <v>Can the Institution review your DRP and supporting documentation?</v>
      </c>
      <c r="D140" s="358" t="str">
        <f>VLOOKUP(B140,'HECVAT - Full'!A1:E312,4,FALSE)</f>
        <v>Only under NDA</v>
      </c>
      <c r="E140" s="337" t="b">
        <f t="shared" si="8"/>
        <v>0</v>
      </c>
      <c r="F140" s="357" t="s">
        <v>3137</v>
      </c>
      <c r="G140" s="335" t="s">
        <v>90</v>
      </c>
      <c r="H140" s="338">
        <v>1.0</v>
      </c>
      <c r="I140" s="349" t="str">
        <f>VLOOKUP(B140,'HECVAT - Full'!A1:E312,3,FALSE)</f>
        <v>Yes</v>
      </c>
      <c r="J140" s="181">
        <f t="shared" si="51"/>
        <v>1</v>
      </c>
      <c r="K140" s="181">
        <f t="shared" si="52"/>
        <v>20</v>
      </c>
      <c r="L140" s="181">
        <f t="shared" si="6"/>
        <v>20</v>
      </c>
      <c r="M140" s="198" t="str">
        <f>VLOOKUP($B140,'Standards Crosswalk'!$A1:$H321,3,FALSE)</f>
        <v>CSC 10</v>
      </c>
      <c r="N140" s="198" t="str">
        <f>VLOOKUP($B140,'Standards Crosswalk'!$A1:$H321,4,FALSE)</f>
        <v/>
      </c>
      <c r="O140" s="198" t="str">
        <f>VLOOKUP($B140,'Standards Crosswalk'!$A1:$H321,5,FALSE)</f>
        <v/>
      </c>
      <c r="P140" s="198" t="str">
        <f>VLOOKUP($B140,'Standards Crosswalk'!$A1:$H321,6,FALSE)</f>
        <v>PR.IP-9</v>
      </c>
      <c r="Q140" s="198" t="str">
        <f>VLOOKUP($B140,'Standards Crosswalk'!$A1:$H321,7,FALSE)</f>
        <v>3.12.2</v>
      </c>
      <c r="R140" s="198" t="str">
        <f>VLOOKUP($B140,'Standards Crosswalk'!$A1:$H321,8,FALSE)</f>
        <v>AC-5, CP-4, CP-10; NIST SP 800-34</v>
      </c>
      <c r="S140" s="343">
        <f>VLOOKUP($B140,'Standards Crosswalk'!$A1:$I321,9,FALSE)</f>
        <v>12.8</v>
      </c>
      <c r="T140" s="181"/>
      <c r="U140" s="181"/>
      <c r="V140" s="181"/>
      <c r="W140" s="181"/>
      <c r="X140" s="181"/>
      <c r="Y140" s="181"/>
      <c r="Z140" s="6"/>
    </row>
    <row r="141" ht="43.5" customHeight="1">
      <c r="A141" s="334">
        <f t="shared" si="7"/>
        <v>139</v>
      </c>
      <c r="B141" s="335" t="s">
        <v>498</v>
      </c>
      <c r="C141" s="336" t="str">
        <f>VLOOKUP(B141,'HECVAT - Full'!A1:E312,2,FALSE)</f>
        <v>Are any disaster recovery locations outside the Institution's Data Zone?</v>
      </c>
      <c r="D141" s="358" t="str">
        <f>VLOOKUP(B141,'HECVAT - Full'!A1:E312,4,FALSE)</f>
        <v/>
      </c>
      <c r="E141" s="337" t="b">
        <f t="shared" si="8"/>
        <v>0</v>
      </c>
      <c r="F141" s="357" t="s">
        <v>3137</v>
      </c>
      <c r="G141" s="335" t="s">
        <v>85</v>
      </c>
      <c r="H141" s="338">
        <v>1.0</v>
      </c>
      <c r="I141" s="349" t="str">
        <f>VLOOKUP(B141,'HECVAT - Full'!A1:E312,3,FALSE)</f>
        <v>No</v>
      </c>
      <c r="J141" s="181">
        <f t="shared" si="51"/>
        <v>1</v>
      </c>
      <c r="K141" s="181">
        <f t="shared" si="52"/>
        <v>20</v>
      </c>
      <c r="L141" s="181">
        <f t="shared" si="6"/>
        <v>20</v>
      </c>
      <c r="M141" s="198" t="str">
        <f>VLOOKUP($B141,'Standards Crosswalk'!$A1:$H321,3,FALSE)</f>
        <v>CSC 10, CSC 12</v>
      </c>
      <c r="N141" s="198" t="str">
        <f>VLOOKUP($B141,'Standards Crosswalk'!$A1:$H321,4,FALSE)</f>
        <v/>
      </c>
      <c r="O141" s="198" t="str">
        <f>VLOOKUP($B141,'Standards Crosswalk'!$A1:$H321,5,FALSE)</f>
        <v>17.1.1</v>
      </c>
      <c r="P141" s="198" t="str">
        <f>VLOOKUP($B141,'Standards Crosswalk'!$A1:$H321,6,FALSE)</f>
        <v>PR.IP-9</v>
      </c>
      <c r="Q141" s="343" t="str">
        <f>VLOOKUP($B141,'Standards Crosswalk'!$A1:$H321,7,FALSE)</f>
        <v/>
      </c>
      <c r="R141" s="198" t="str">
        <f>VLOOKUP($B141,'Standards Crosswalk'!$A1:$H321,8,FALSE)</f>
        <v>AC-5, CP-4, CP-10; NIST SP 800-34</v>
      </c>
      <c r="S141" s="343">
        <f>VLOOKUP($B141,'Standards Crosswalk'!$A1:$I321,9,FALSE)</f>
        <v>12.8</v>
      </c>
      <c r="T141" s="181"/>
      <c r="U141" s="181"/>
      <c r="V141" s="181"/>
      <c r="W141" s="181"/>
      <c r="X141" s="181"/>
      <c r="Y141" s="181"/>
      <c r="Z141" s="6"/>
    </row>
    <row r="142" ht="57.75" customHeight="1">
      <c r="A142" s="334">
        <f t="shared" si="7"/>
        <v>140</v>
      </c>
      <c r="B142" s="335" t="s">
        <v>500</v>
      </c>
      <c r="C142" s="336" t="str">
        <f>VLOOKUP(B142,'HECVAT - Full'!A1:E312,2,FALSE)</f>
        <v>Does your organization have a disaster recovery site or a contracted Disaster Recovery provider?</v>
      </c>
      <c r="D142" s="358" t="str">
        <f>VLOOKUP(B142,'HECVAT - Full'!A1:E312,4,FALSE)</f>
        <v>We have identified 5+ data centers that are suitable and compliant in the event of an initiated disaster recovery</v>
      </c>
      <c r="E142" s="337" t="b">
        <f t="shared" si="8"/>
        <v>0</v>
      </c>
      <c r="F142" s="357" t="s">
        <v>3137</v>
      </c>
      <c r="G142" s="335" t="s">
        <v>90</v>
      </c>
      <c r="H142" s="338">
        <v>1.0</v>
      </c>
      <c r="I142" s="349" t="str">
        <f>VLOOKUP(B142,'HECVAT - Full'!A1:E312,3,FALSE)</f>
        <v>Yes</v>
      </c>
      <c r="J142" s="181">
        <f t="shared" si="51"/>
        <v>1</v>
      </c>
      <c r="K142" s="181">
        <f t="shared" si="52"/>
        <v>20</v>
      </c>
      <c r="L142" s="181">
        <f t="shared" si="6"/>
        <v>20</v>
      </c>
      <c r="M142" s="198" t="str">
        <f>VLOOKUP($B142,'Standards Crosswalk'!$A1:$H321,3,FALSE)</f>
        <v>CSC 10</v>
      </c>
      <c r="N142" s="198" t="str">
        <f>VLOOKUP($B142,'Standards Crosswalk'!$A1:$H321,4,FALSE)</f>
        <v/>
      </c>
      <c r="O142" s="198" t="str">
        <f>VLOOKUP($B142,'Standards Crosswalk'!$A1:$H321,5,FALSE)</f>
        <v>17.2.1</v>
      </c>
      <c r="P142" s="198" t="str">
        <f>VLOOKUP($B142,'Standards Crosswalk'!$A1:$H321,6,FALSE)</f>
        <v>PR.IP-9</v>
      </c>
      <c r="Q142" s="343" t="str">
        <f>VLOOKUP($B142,'Standards Crosswalk'!$A1:$H321,7,FALSE)</f>
        <v/>
      </c>
      <c r="R142" s="198" t="str">
        <f>VLOOKUP($B142,'Standards Crosswalk'!$A1:$H321,8,FALSE)</f>
        <v>AC-5, CP-4, CP-10; NIST SP 800-34</v>
      </c>
      <c r="S142" s="343" t="str">
        <f>VLOOKUP($B142,'Standards Crosswalk'!$A1:$I321,9,FALSE)</f>
        <v/>
      </c>
      <c r="T142" s="181"/>
      <c r="U142" s="181"/>
      <c r="V142" s="181"/>
      <c r="W142" s="181"/>
      <c r="X142" s="181"/>
      <c r="Y142" s="181"/>
      <c r="Z142" s="6"/>
    </row>
    <row r="143" ht="43.5" customHeight="1">
      <c r="A143" s="334">
        <f t="shared" si="7"/>
        <v>141</v>
      </c>
      <c r="B143" s="335" t="s">
        <v>503</v>
      </c>
      <c r="C143" s="336" t="str">
        <f>VLOOKUP(B143,'HECVAT - Full'!A1:E312,2,FALSE)</f>
        <v>Does your organization conduct an annual test of relocating to this site for disaster recovery purposes?</v>
      </c>
      <c r="D143" s="358" t="str">
        <f>VLOOKUP(B143,'HECVAT - Full'!A1:E312,4,FALSE)</f>
        <v>We test account migration/restoration annually. This involves an API gateway configuration change (for each test account) and data restoration to a new site.</v>
      </c>
      <c r="E143" s="337" t="b">
        <f t="shared" si="8"/>
        <v>0</v>
      </c>
      <c r="F143" s="357" t="s">
        <v>3137</v>
      </c>
      <c r="G143" s="335" t="s">
        <v>90</v>
      </c>
      <c r="H143" s="338">
        <f>IF(I142="Yes",1,0)</f>
        <v>1</v>
      </c>
      <c r="I143" s="349" t="str">
        <f>VLOOKUP(B143,'HECVAT - Full'!A1:E312,3,FALSE)</f>
        <v>Yes</v>
      </c>
      <c r="J143" s="181">
        <f t="shared" si="51"/>
        <v>1</v>
      </c>
      <c r="K143" s="198">
        <f t="shared" si="52"/>
        <v>20</v>
      </c>
      <c r="L143" s="198">
        <f t="shared" si="6"/>
        <v>20</v>
      </c>
      <c r="M143" s="198" t="str">
        <f>VLOOKUP($B143,'Standards Crosswalk'!$A1:$H321,3,FALSE)</f>
        <v>CSC 10</v>
      </c>
      <c r="N143" s="198" t="str">
        <f>VLOOKUP($B143,'Standards Crosswalk'!$A1:$H321,4,FALSE)</f>
        <v/>
      </c>
      <c r="O143" s="198" t="str">
        <f>VLOOKUP($B143,'Standards Crosswalk'!$A1:$H321,5,FALSE)</f>
        <v>17.1.3</v>
      </c>
      <c r="P143" s="198" t="str">
        <f>VLOOKUP($B143,'Standards Crosswalk'!$A1:$H321,6,FALSE)</f>
        <v>PR.IP-9</v>
      </c>
      <c r="Q143" s="343" t="str">
        <f>VLOOKUP($B143,'Standards Crosswalk'!$A1:$H321,7,FALSE)</f>
        <v/>
      </c>
      <c r="R143" s="198" t="str">
        <f>VLOOKUP($B143,'Standards Crosswalk'!$A1:$H321,8,FALSE)</f>
        <v>AC-5, CP-4, CP-10; NIST SP 800-34</v>
      </c>
      <c r="S143" s="343" t="str">
        <f>VLOOKUP($B143,'Standards Crosswalk'!$A1:$I321,9,FALSE)</f>
        <v/>
      </c>
      <c r="T143" s="181"/>
      <c r="U143" s="181"/>
      <c r="V143" s="181"/>
      <c r="W143" s="181"/>
      <c r="X143" s="181"/>
      <c r="Y143" s="181"/>
      <c r="Z143" s="6"/>
    </row>
    <row r="144" ht="43.5" customHeight="1">
      <c r="A144" s="334">
        <f t="shared" si="7"/>
        <v>142</v>
      </c>
      <c r="B144" s="335" t="s">
        <v>506</v>
      </c>
      <c r="C144" s="336" t="str">
        <f>VLOOKUP(B144,'HECVAT - Full'!A1:E312,2,FALSE)</f>
        <v>Is there a defined problem/issue escalation plan in your DRP for impacted clients?</v>
      </c>
      <c r="D144" s="358" t="str">
        <f>VLOOKUP(B144,'HECVAT - Full'!A1:E312,4,FALSE)</f>
        <v/>
      </c>
      <c r="E144" s="337" t="b">
        <f t="shared" si="8"/>
        <v>1</v>
      </c>
      <c r="F144" s="357" t="s">
        <v>3137</v>
      </c>
      <c r="G144" s="335" t="s">
        <v>90</v>
      </c>
      <c r="H144" s="338">
        <v>1.0</v>
      </c>
      <c r="I144" s="349" t="str">
        <f>VLOOKUP(B144,'HECVAT - Full'!A1:E312,3,FALSE)</f>
        <v>Yes</v>
      </c>
      <c r="J144" s="181">
        <f t="shared" si="51"/>
        <v>1</v>
      </c>
      <c r="K144" s="181">
        <v>25.0</v>
      </c>
      <c r="L144" s="181">
        <f t="shared" si="6"/>
        <v>25</v>
      </c>
      <c r="M144" s="198" t="str">
        <f>VLOOKUP($B144,'Standards Crosswalk'!$A1:$H321,3,FALSE)</f>
        <v>CSC 10</v>
      </c>
      <c r="N144" s="198" t="str">
        <f>VLOOKUP($B144,'Standards Crosswalk'!$A1:$H321,4,FALSE)</f>
        <v/>
      </c>
      <c r="O144" s="198" t="str">
        <f>VLOOKUP($B144,'Standards Crosswalk'!$A1:$H321,5,FALSE)</f>
        <v/>
      </c>
      <c r="P144" s="198" t="str">
        <f>VLOOKUP($B144,'Standards Crosswalk'!$A1:$H321,6,FALSE)</f>
        <v>PR.IP-9</v>
      </c>
      <c r="Q144" s="198" t="str">
        <f>VLOOKUP($B144,'Standards Crosswalk'!$A1:$H321,7,FALSE)</f>
        <v>3.12.2</v>
      </c>
      <c r="R144" s="198" t="str">
        <f>VLOOKUP($B144,'Standards Crosswalk'!$A1:$H321,8,FALSE)</f>
        <v>AC-5, CP-4, CP-10; NIST SP 800-34</v>
      </c>
      <c r="S144" s="343">
        <f>VLOOKUP($B144,'Standards Crosswalk'!$A1:$I321,9,FALSE)</f>
        <v>12.8</v>
      </c>
      <c r="T144" s="181"/>
      <c r="U144" s="181"/>
      <c r="V144" s="181"/>
      <c r="W144" s="181"/>
      <c r="X144" s="181"/>
      <c r="Y144" s="181"/>
      <c r="Z144" s="6"/>
    </row>
    <row r="145" ht="43.5" customHeight="1">
      <c r="A145" s="334">
        <f t="shared" si="7"/>
        <v>143</v>
      </c>
      <c r="B145" s="335" t="s">
        <v>508</v>
      </c>
      <c r="C145" s="336" t="str">
        <f>VLOOKUP(B145,'HECVAT - Full'!A1:E312,2,FALSE)</f>
        <v>Is there a documented communication plan in your DRP for impacted clients?</v>
      </c>
      <c r="D145" s="358" t="str">
        <f>VLOOKUP(B145,'HECVAT - Full'!A1:E312,4,FALSE)</f>
        <v/>
      </c>
      <c r="E145" s="337" t="b">
        <f t="shared" si="8"/>
        <v>0</v>
      </c>
      <c r="F145" s="357" t="s">
        <v>3137</v>
      </c>
      <c r="G145" s="335" t="s">
        <v>90</v>
      </c>
      <c r="H145" s="338">
        <v>1.0</v>
      </c>
      <c r="I145" s="349" t="str">
        <f>VLOOKUP(B145,'HECVAT - Full'!A1:E312,3,FALSE)</f>
        <v>Yes</v>
      </c>
      <c r="J145" s="181">
        <f t="shared" si="51"/>
        <v>1</v>
      </c>
      <c r="K145" s="181">
        <f t="shared" ref="K145:K150" si="53">IF(H145=1,20,"")</f>
        <v>20</v>
      </c>
      <c r="L145" s="181">
        <f t="shared" si="6"/>
        <v>20</v>
      </c>
      <c r="M145" s="198" t="str">
        <f>VLOOKUP($B145,'Standards Crosswalk'!$A1:$H321,3,FALSE)</f>
        <v>CSC 10</v>
      </c>
      <c r="N145" s="198" t="str">
        <f>VLOOKUP($B145,'Standards Crosswalk'!$A1:$H321,4,FALSE)</f>
        <v/>
      </c>
      <c r="O145" s="198" t="str">
        <f>VLOOKUP($B145,'Standards Crosswalk'!$A1:$H321,5,FALSE)</f>
        <v>17.1.2</v>
      </c>
      <c r="P145" s="198" t="str">
        <f>VLOOKUP($B145,'Standards Crosswalk'!$A1:$H321,6,FALSE)</f>
        <v>PR.IP-9</v>
      </c>
      <c r="Q145" s="198" t="str">
        <f>VLOOKUP($B145,'Standards Crosswalk'!$A1:$H321,7,FALSE)</f>
        <v>3.12.2</v>
      </c>
      <c r="R145" s="198" t="str">
        <f>VLOOKUP($B145,'Standards Crosswalk'!$A1:$H321,8,FALSE)</f>
        <v>AC-5, CP-4, CP-10; NIST SP 800-34</v>
      </c>
      <c r="S145" s="343">
        <f>VLOOKUP($B145,'Standards Crosswalk'!$A1:$I321,9,FALSE)</f>
        <v>12.8</v>
      </c>
      <c r="T145" s="181"/>
      <c r="U145" s="181"/>
      <c r="V145" s="181"/>
      <c r="W145" s="181"/>
      <c r="X145" s="181"/>
      <c r="Y145" s="181"/>
      <c r="Z145" s="6"/>
    </row>
    <row r="146" ht="57.75" customHeight="1">
      <c r="A146" s="334">
        <f t="shared" si="7"/>
        <v>144</v>
      </c>
      <c r="B146" s="335" t="s">
        <v>510</v>
      </c>
      <c r="C146" s="336" t="str">
        <f>VLOOKUP(B146,'HECVAT - Full'!A1:E312,2,FALSE)</f>
        <v>Describe or provide a reference to how your disaster recovery plan is tested? (i.e. scope of DR tests, end-to-end testing, etc.)</v>
      </c>
      <c r="D146" s="334" t="str">
        <f>VLOOKUP(B146,'HECVAT - Full'!A1:E312,4,FALSE)</f>
        <v/>
      </c>
      <c r="E146" s="337" t="b">
        <f t="shared" si="8"/>
        <v>0</v>
      </c>
      <c r="F146" s="357" t="s">
        <v>3137</v>
      </c>
      <c r="G146" s="335" t="s">
        <v>90</v>
      </c>
      <c r="H146" s="338">
        <v>1.0</v>
      </c>
      <c r="I146" s="366" t="str">
        <f>VLOOKUP(B146,'HECVAT - Full'!A1:E312,3,FALSE)</f>
        <v>1. We have test accounts that are connected to multiple LMSes. The test accounts are validated to work correctly.
2. Test account configuration is restored from backup into a new site
3. Our API gateway (per account) is configured to point to the new site. No DNS change is necessicary.
4. The test account(s) are testsed with the LMSes again. No LMS configureation change should be necessicary.</v>
      </c>
      <c r="J146" s="181">
        <f>IF(VLOOKUP(B146,'Analyst Report'!$A$41:$H$88,7,FALSE)="Yes",1,0)</f>
        <v>0</v>
      </c>
      <c r="K146" s="181">
        <f t="shared" si="53"/>
        <v>20</v>
      </c>
      <c r="L146" s="181">
        <f t="shared" si="6"/>
        <v>0</v>
      </c>
      <c r="M146" s="198" t="str">
        <f>VLOOKUP($B146,'Standards Crosswalk'!$A1:$H321,3,FALSE)</f>
        <v>CSC 10</v>
      </c>
      <c r="N146" s="198" t="str">
        <f>VLOOKUP($B146,'Standards Crosswalk'!$A1:$H321,4,FALSE)</f>
        <v/>
      </c>
      <c r="O146" s="198" t="str">
        <f>VLOOKUP($B146,'Standards Crosswalk'!$A1:$H321,5,FALSE)</f>
        <v>17.1.3</v>
      </c>
      <c r="P146" s="198" t="str">
        <f>VLOOKUP($B146,'Standards Crosswalk'!$A1:$H321,6,FALSE)</f>
        <v>PR.IP-9</v>
      </c>
      <c r="Q146" s="198" t="str">
        <f>VLOOKUP($B146,'Standards Crosswalk'!$A1:$H321,7,FALSE)</f>
        <v>3.12.2</v>
      </c>
      <c r="R146" s="198" t="str">
        <f>VLOOKUP($B146,'Standards Crosswalk'!$A1:$H321,8,FALSE)</f>
        <v>AC-5, CP-4, CP-10; NIST SP 800-34</v>
      </c>
      <c r="S146" s="343" t="str">
        <f>VLOOKUP($B146,'Standards Crosswalk'!$A1:$I321,9,FALSE)</f>
        <v/>
      </c>
      <c r="T146" s="181"/>
      <c r="U146" s="181"/>
      <c r="V146" s="181"/>
      <c r="W146" s="181"/>
      <c r="X146" s="181"/>
      <c r="Y146" s="181"/>
      <c r="Z146" s="6"/>
    </row>
    <row r="147" ht="72.0" customHeight="1">
      <c r="A147" s="334">
        <f t="shared" si="7"/>
        <v>145</v>
      </c>
      <c r="B147" s="335" t="s">
        <v>514</v>
      </c>
      <c r="C147" s="336" t="str">
        <f>VLOOKUP(B147,'HECVAT - Full'!A1:E312,2,FALSE)</f>
        <v>Has the Disaster Recovery Plan been tested in the last year?  Please provide a summary of the results in Additional Information (including actual recovery time).</v>
      </c>
      <c r="D147" s="358" t="str">
        <f>VLOOKUP(B147,'HECVAT - Full'!A1:E312,4,FALSE)</f>
        <v>After disaster recovery is initiated, it takes about 10 minutes for the automated procedure to fully restore. After that, the API gateway configuration is updated. This is a manual porcess that takes about 5 miutes per affected region. We test anually in the summer.</v>
      </c>
      <c r="E147" s="337" t="b">
        <f t="shared" si="8"/>
        <v>0</v>
      </c>
      <c r="F147" s="357" t="s">
        <v>3137</v>
      </c>
      <c r="G147" s="335" t="s">
        <v>90</v>
      </c>
      <c r="H147" s="338">
        <v>1.0</v>
      </c>
      <c r="I147" s="349" t="str">
        <f>VLOOKUP(B147,'HECVAT - Full'!A1:E312,3,FALSE)</f>
        <v>Yes</v>
      </c>
      <c r="J147" s="181">
        <f t="shared" ref="J147:J152" si="54">IF(G147=I147,1,0)</f>
        <v>1</v>
      </c>
      <c r="K147" s="181">
        <f t="shared" si="53"/>
        <v>20</v>
      </c>
      <c r="L147" s="181">
        <f t="shared" si="6"/>
        <v>20</v>
      </c>
      <c r="M147" s="198" t="str">
        <f>VLOOKUP($B147,'Standards Crosswalk'!$A1:$H321,3,FALSE)</f>
        <v>CSC 10</v>
      </c>
      <c r="N147" s="198" t="str">
        <f>VLOOKUP($B147,'Standards Crosswalk'!$A1:$H321,4,FALSE)</f>
        <v/>
      </c>
      <c r="O147" s="198" t="str">
        <f>VLOOKUP($B147,'Standards Crosswalk'!$A1:$H321,5,FALSE)</f>
        <v>17.1.3</v>
      </c>
      <c r="P147" s="198" t="str">
        <f>VLOOKUP($B147,'Standards Crosswalk'!$A1:$H321,6,FALSE)</f>
        <v>PR.IP-9</v>
      </c>
      <c r="Q147" s="198" t="str">
        <f>VLOOKUP($B147,'Standards Crosswalk'!$A1:$H321,7,FALSE)</f>
        <v>3.12.2</v>
      </c>
      <c r="R147" s="198" t="str">
        <f>VLOOKUP($B147,'Standards Crosswalk'!$A1:$H321,8,FALSE)</f>
        <v>AC-5, CP-4, CP-10; NIST SP 800-34</v>
      </c>
      <c r="S147" s="343" t="str">
        <f>VLOOKUP($B147,'Standards Crosswalk'!$A1:$I321,9,FALSE)</f>
        <v/>
      </c>
      <c r="T147" s="181"/>
      <c r="U147" s="181"/>
      <c r="V147" s="181"/>
      <c r="W147" s="181"/>
      <c r="X147" s="181"/>
      <c r="Y147" s="181"/>
      <c r="Z147" s="6"/>
    </row>
    <row r="148" ht="57.75" customHeight="1">
      <c r="A148" s="334">
        <f t="shared" si="7"/>
        <v>146</v>
      </c>
      <c r="B148" s="335" t="s">
        <v>517</v>
      </c>
      <c r="C148" s="336" t="str">
        <f>VLOOKUP(B148,'HECVAT - Full'!A1:E312,2,FALSE)</f>
        <v>Do the documented test results identify your organizations actual recovery time capabilities for technology and facilities?</v>
      </c>
      <c r="D148" s="358" t="str">
        <f>VLOOKUP(B148,'HECVAT - Full'!A1:E312,4,FALSE)</f>
        <v/>
      </c>
      <c r="E148" s="337" t="b">
        <f t="shared" si="8"/>
        <v>0</v>
      </c>
      <c r="F148" s="357" t="s">
        <v>3137</v>
      </c>
      <c r="G148" s="335" t="s">
        <v>90</v>
      </c>
      <c r="H148" s="338">
        <f>IF(I147="Yes",1,0)</f>
        <v>1</v>
      </c>
      <c r="I148" s="349" t="str">
        <f>VLOOKUP(B148,'HECVAT - Full'!A1:E312,3,FALSE)</f>
        <v>Yes</v>
      </c>
      <c r="J148" s="181">
        <f t="shared" si="54"/>
        <v>1</v>
      </c>
      <c r="K148" s="198">
        <f t="shared" si="53"/>
        <v>20</v>
      </c>
      <c r="L148" s="198">
        <f t="shared" si="6"/>
        <v>20</v>
      </c>
      <c r="M148" s="198" t="str">
        <f>VLOOKUP($B148,'Standards Crosswalk'!$A1:$H321,3,FALSE)</f>
        <v>CSC 10</v>
      </c>
      <c r="N148" s="198" t="str">
        <f>VLOOKUP($B148,'Standards Crosswalk'!$A1:$H321,4,FALSE)</f>
        <v/>
      </c>
      <c r="O148" s="198" t="str">
        <f>VLOOKUP($B148,'Standards Crosswalk'!$A1:$H321,5,FALSE)</f>
        <v>7.1.3</v>
      </c>
      <c r="P148" s="198" t="str">
        <f>VLOOKUP($B148,'Standards Crosswalk'!$A1:$H321,6,FALSE)</f>
        <v>PR.IP-9</v>
      </c>
      <c r="Q148" s="343" t="str">
        <f>VLOOKUP($B148,'Standards Crosswalk'!$A1:$H321,7,FALSE)</f>
        <v/>
      </c>
      <c r="R148" s="198" t="str">
        <f>VLOOKUP($B148,'Standards Crosswalk'!$A1:$H321,8,FALSE)</f>
        <v>AC-5, CP-4, CP-10; NIST SP 800-34</v>
      </c>
      <c r="S148" s="343">
        <f>VLOOKUP($B148,'Standards Crosswalk'!$A1:$I321,9,FALSE)</f>
        <v>12.8</v>
      </c>
      <c r="T148" s="181"/>
      <c r="U148" s="181"/>
      <c r="V148" s="181"/>
      <c r="W148" s="181"/>
      <c r="X148" s="181"/>
      <c r="Y148" s="181"/>
      <c r="Z148" s="6"/>
    </row>
    <row r="149" ht="57.75" customHeight="1">
      <c r="A149" s="334">
        <f t="shared" si="7"/>
        <v>147</v>
      </c>
      <c r="B149" s="335" t="s">
        <v>519</v>
      </c>
      <c r="C149" s="336" t="str">
        <f>VLOOKUP(B149,'HECVAT - Full'!A1:E312,2,FALSE)</f>
        <v>Are all components of the DRP reviewed at least annually and updated as needed to reflect change? </v>
      </c>
      <c r="D149" s="334" t="str">
        <f>VLOOKUP(B149,'HECVAT - Full'!A1:E312,4,FALSE)</f>
        <v>As part of the review process, we run through a trial of the documented disaster recovery process with all necessicary personel. The DRP documnet is updated if the process was not found to run smoothly after this trial. The Trial is repeated as needed until it is proven to run smoothly.</v>
      </c>
      <c r="E149" s="337" t="b">
        <f t="shared" si="8"/>
        <v>0</v>
      </c>
      <c r="F149" s="357" t="s">
        <v>3137</v>
      </c>
      <c r="G149" s="335" t="s">
        <v>90</v>
      </c>
      <c r="H149" s="338">
        <v>1.0</v>
      </c>
      <c r="I149" s="349" t="str">
        <f>VLOOKUP(B149,'HECVAT - Full'!A1:E312,3,FALSE)</f>
        <v>Yes</v>
      </c>
      <c r="J149" s="181">
        <f t="shared" si="54"/>
        <v>1</v>
      </c>
      <c r="K149" s="181">
        <f t="shared" si="53"/>
        <v>20</v>
      </c>
      <c r="L149" s="181">
        <f t="shared" si="6"/>
        <v>20</v>
      </c>
      <c r="M149" s="198" t="str">
        <f>VLOOKUP($B149,'Standards Crosswalk'!$A1:$H321,3,FALSE)</f>
        <v>CSC 10</v>
      </c>
      <c r="N149" s="198" t="str">
        <f>VLOOKUP($B149,'Standards Crosswalk'!$A1:$H321,4,FALSE)</f>
        <v/>
      </c>
      <c r="O149" s="198" t="str">
        <f>VLOOKUP($B149,'Standards Crosswalk'!$A1:$H321,5,FALSE)</f>
        <v>17.1.1</v>
      </c>
      <c r="P149" s="198" t="str">
        <f>VLOOKUP($B149,'Standards Crosswalk'!$A1:$H321,6,FALSE)</f>
        <v>PR.IP-9</v>
      </c>
      <c r="Q149" s="198" t="str">
        <f>VLOOKUP($B149,'Standards Crosswalk'!$A1:$H321,7,FALSE)</f>
        <v>3.12.2</v>
      </c>
      <c r="R149" s="198" t="str">
        <f>VLOOKUP($B149,'Standards Crosswalk'!$A1:$H321,8,FALSE)</f>
        <v>AC-5, CP-4, CP-10; NIST SP 800-34</v>
      </c>
      <c r="S149" s="343" t="str">
        <f>VLOOKUP($B149,'Standards Crosswalk'!$A1:$I321,9,FALSE)</f>
        <v/>
      </c>
      <c r="T149" s="181"/>
      <c r="U149" s="181"/>
      <c r="V149" s="181"/>
      <c r="W149" s="181"/>
      <c r="X149" s="181"/>
      <c r="Y149" s="181"/>
      <c r="Z149" s="6"/>
    </row>
    <row r="150" ht="57.75" customHeight="1">
      <c r="A150" s="334">
        <f t="shared" si="7"/>
        <v>148</v>
      </c>
      <c r="B150" s="335" t="s">
        <v>522</v>
      </c>
      <c r="C150" s="336" t="str">
        <f>VLOOKUP(B150,'HECVAT - Full'!A1:E312,2,FALSE)</f>
        <v>Do you carry cyber-risk insurance to protect against unforeseen service outages, data that is lost or stolen, and security incidents?</v>
      </c>
      <c r="D150" s="358" t="str">
        <f>VLOOKUP(B150,'HECVAT - Full'!A1:E312,4,FALSE)</f>
        <v>The company is too small to warrant insurance at this stage. Because we don't store learning data, we have deamed the risk to be very low.</v>
      </c>
      <c r="E150" s="337" t="b">
        <f t="shared" si="8"/>
        <v>0</v>
      </c>
      <c r="F150" s="357" t="s">
        <v>3137</v>
      </c>
      <c r="G150" s="335" t="s">
        <v>90</v>
      </c>
      <c r="H150" s="338">
        <v>1.0</v>
      </c>
      <c r="I150" s="349" t="str">
        <f>VLOOKUP(B150,'HECVAT - Full'!A1:E312,3,FALSE)</f>
        <v>No</v>
      </c>
      <c r="J150" s="181">
        <f t="shared" si="54"/>
        <v>0</v>
      </c>
      <c r="K150" s="181">
        <f t="shared" si="53"/>
        <v>20</v>
      </c>
      <c r="L150" s="181">
        <f t="shared" si="6"/>
        <v>0</v>
      </c>
      <c r="M150" s="198" t="str">
        <f>VLOOKUP($B150,'Standards Crosswalk'!$A1:$H321,3,FALSE)</f>
        <v/>
      </c>
      <c r="N150" s="198" t="str">
        <f>VLOOKUP($B150,'Standards Crosswalk'!$A1:$H321,4,FALSE)</f>
        <v/>
      </c>
      <c r="O150" s="198" t="str">
        <f>VLOOKUP($B150,'Standards Crosswalk'!$A1:$H321,5,FALSE)</f>
        <v/>
      </c>
      <c r="P150" s="198" t="str">
        <f>VLOOKUP($B150,'Standards Crosswalk'!$A1:$H321,6,FALSE)</f>
        <v/>
      </c>
      <c r="Q150" s="198" t="str">
        <f>VLOOKUP($B150,'Standards Crosswalk'!$A1:$H321,7,FALSE)</f>
        <v>3.6.2</v>
      </c>
      <c r="R150" s="198" t="str">
        <f>VLOOKUP($B150,'Standards Crosswalk'!$A1:$H321,8,FALSE)</f>
        <v>AC-5, CP-4, CP-10; NIST SP 800-34</v>
      </c>
      <c r="S150" s="343">
        <f>VLOOKUP($B150,'Standards Crosswalk'!$A1:$I321,9,FALSE)</f>
        <v>12.8</v>
      </c>
      <c r="T150" s="181"/>
      <c r="U150" s="181"/>
      <c r="V150" s="181"/>
      <c r="W150" s="181"/>
      <c r="X150" s="181"/>
      <c r="Y150" s="181"/>
      <c r="Z150" s="6"/>
    </row>
    <row r="151" ht="72.0" customHeight="1">
      <c r="A151" s="334">
        <f t="shared" si="7"/>
        <v>149</v>
      </c>
      <c r="B151" s="335" t="s">
        <v>525</v>
      </c>
      <c r="C151" s="336" t="str">
        <f>VLOOKUP(B151,'HECVAT - Full'!A1:E312,2,FALSE)</f>
        <v>Are you utilizing a web application firewall (WAF)?</v>
      </c>
      <c r="D151" s="358" t="str">
        <f>VLOOKUP(B151,'HECVAT - Full'!A1:E312,4,FALSE)</f>
        <v>We have a WAF in the USA region that covers OWASP top 10.</v>
      </c>
      <c r="E151" s="337" t="b">
        <f t="shared" si="8"/>
        <v>1</v>
      </c>
      <c r="F151" s="357" t="s">
        <v>3126</v>
      </c>
      <c r="G151" s="335" t="s">
        <v>90</v>
      </c>
      <c r="H151" s="338">
        <v>1.0</v>
      </c>
      <c r="I151" s="349" t="str">
        <f>VLOOKUP(B151,'HECVAT - Full'!A1:E312,3,FALSE)</f>
        <v>Yes</v>
      </c>
      <c r="J151" s="181">
        <f t="shared" si="54"/>
        <v>1</v>
      </c>
      <c r="K151" s="181">
        <v>25.0</v>
      </c>
      <c r="L151" s="181">
        <f t="shared" si="6"/>
        <v>25</v>
      </c>
      <c r="M151" s="198" t="str">
        <f>VLOOKUP($B151,'Standards Crosswalk'!$A1:$H321,3,FALSE)</f>
        <v>CSC 9</v>
      </c>
      <c r="N151" s="198" t="str">
        <f>VLOOKUP($B151,'Standards Crosswalk'!$A1:$H321,4,FALSE)</f>
        <v/>
      </c>
      <c r="O151" s="198" t="str">
        <f>VLOOKUP($B151,'Standards Crosswalk'!$A1:$H321,5,FALSE)</f>
        <v>13.1.1</v>
      </c>
      <c r="P151" s="198" t="str">
        <f>VLOOKUP($B151,'Standards Crosswalk'!$A1:$H321,6,FALSE)</f>
        <v>PR.DS-5</v>
      </c>
      <c r="Q151" s="343" t="str">
        <f>VLOOKUP($B151,'Standards Crosswalk'!$A1:$H321,7,FALSE)</f>
        <v/>
      </c>
      <c r="R151" s="198" t="str">
        <f>VLOOKUP($B151,'Standards Crosswalk'!$A1:$H321,8,FALSE)</f>
        <v/>
      </c>
      <c r="S151" s="343">
        <f>VLOOKUP($B151,'Standards Crosswalk'!$A1:$I321,9,FALSE)</f>
        <v>1.1</v>
      </c>
      <c r="T151" s="181"/>
      <c r="U151" s="181"/>
      <c r="V151" s="181"/>
      <c r="W151" s="181"/>
      <c r="X151" s="181"/>
      <c r="Y151" s="181"/>
      <c r="Z151" s="6"/>
    </row>
    <row r="152" ht="72.0" customHeight="1">
      <c r="A152" s="334">
        <f t="shared" si="7"/>
        <v>150</v>
      </c>
      <c r="B152" s="335" t="s">
        <v>528</v>
      </c>
      <c r="C152" s="336" t="str">
        <f>VLOOKUP(B152,'HECVAT - Full'!A1:E312,2,FALSE)</f>
        <v>Are you utilizing a stateful packet inspection (SPI) firewall?</v>
      </c>
      <c r="D152" s="358" t="str">
        <f>VLOOKUP(B152,'HECVAT - Full'!A1:E312,4,FALSE)</f>
        <v>Google Cloud has strict firewall rules the previent unauthorized trafic types from reaching our containers. However, because LTIAAS does not use sessions, an SPI firewall is not applicable.</v>
      </c>
      <c r="E152" s="337" t="b">
        <f t="shared" si="8"/>
        <v>1</v>
      </c>
      <c r="F152" s="357" t="s">
        <v>3126</v>
      </c>
      <c r="G152" s="335" t="s">
        <v>90</v>
      </c>
      <c r="H152" s="338">
        <v>1.0</v>
      </c>
      <c r="I152" s="349" t="str">
        <f>VLOOKUP(B152,'HECVAT - Full'!A1:E312,3,FALSE)</f>
        <v>No</v>
      </c>
      <c r="J152" s="181">
        <f t="shared" si="54"/>
        <v>0</v>
      </c>
      <c r="K152" s="181">
        <v>25.0</v>
      </c>
      <c r="L152" s="181">
        <f t="shared" si="6"/>
        <v>0</v>
      </c>
      <c r="M152" s="198" t="str">
        <f>VLOOKUP($B152,'Standards Crosswalk'!$A1:$H321,3,FALSE)</f>
        <v>CSC 9</v>
      </c>
      <c r="N152" s="198" t="str">
        <f>VLOOKUP($B152,'Standards Crosswalk'!$A1:$H321,4,FALSE)</f>
        <v/>
      </c>
      <c r="O152" s="198" t="str">
        <f>VLOOKUP($B152,'Standards Crosswalk'!$A1:$H321,5,FALSE)</f>
        <v>13.1.1</v>
      </c>
      <c r="P152" s="198" t="str">
        <f>VLOOKUP($B152,'Standards Crosswalk'!$A1:$H321,6,FALSE)</f>
        <v>PR.DS-5</v>
      </c>
      <c r="Q152" s="343" t="str">
        <f>VLOOKUP($B152,'Standards Crosswalk'!$A1:$H321,7,FALSE)</f>
        <v/>
      </c>
      <c r="R152" s="198" t="str">
        <f>VLOOKUP($B152,'Standards Crosswalk'!$A1:$H321,8,FALSE)</f>
        <v/>
      </c>
      <c r="S152" s="343">
        <f>VLOOKUP($B152,'Standards Crosswalk'!$A1:$I321,9,FALSE)</f>
        <v>1.1</v>
      </c>
      <c r="T152" s="181"/>
      <c r="U152" s="181"/>
      <c r="V152" s="181"/>
      <c r="W152" s="181"/>
      <c r="X152" s="181"/>
      <c r="Y152" s="181"/>
      <c r="Z152" s="6"/>
    </row>
    <row r="153" ht="72.0" customHeight="1">
      <c r="A153" s="334">
        <f t="shared" si="7"/>
        <v>151</v>
      </c>
      <c r="B153" s="335" t="s">
        <v>531</v>
      </c>
      <c r="C153" s="336" t="str">
        <f>VLOOKUP(B153,'HECVAT - Full'!A1:E312,2,FALSE)</f>
        <v>State and describe who has the authority to change firewall rules?</v>
      </c>
      <c r="D153" s="334" t="str">
        <f>VLOOKUP(B153,'HECVAT - Full'!A1:E312,4,FALSE)</f>
        <v/>
      </c>
      <c r="E153" s="337" t="b">
        <f t="shared" si="8"/>
        <v>0</v>
      </c>
      <c r="F153" s="357" t="s">
        <v>3126</v>
      </c>
      <c r="G153" s="335" t="s">
        <v>90</v>
      </c>
      <c r="H153" s="338">
        <v>1.0</v>
      </c>
      <c r="I153" s="349" t="str">
        <f>VLOOKUP(B153,'HECVAT - Full'!A1:E312,3,FALSE)</f>
        <v>CEO only</v>
      </c>
      <c r="J153" s="181">
        <f>IF(VLOOKUP(B153,'Analyst Report'!$A$41:$G$88,7,FALSE)="Yes",1,0)</f>
        <v>0</v>
      </c>
      <c r="K153" s="181">
        <f>IF(H153=1,20,"")</f>
        <v>20</v>
      </c>
      <c r="L153" s="181">
        <f t="shared" si="6"/>
        <v>0</v>
      </c>
      <c r="M153" s="198" t="str">
        <f>VLOOKUP($B153,'Standards Crosswalk'!$A1:$H321,3,FALSE)</f>
        <v>CSC 9</v>
      </c>
      <c r="N153" s="198" t="str">
        <f>VLOOKUP($B153,'Standards Crosswalk'!$A1:$H321,4,FALSE)</f>
        <v/>
      </c>
      <c r="O153" s="198" t="str">
        <f>VLOOKUP($B153,'Standards Crosswalk'!$A1:$H321,5,FALSE)</f>
        <v>13</v>
      </c>
      <c r="P153" s="198" t="str">
        <f>VLOOKUP($B153,'Standards Crosswalk'!$A1:$H321,6,FALSE)</f>
        <v>PR.AC-5</v>
      </c>
      <c r="Q153" s="343" t="str">
        <f>VLOOKUP($B153,'Standards Crosswalk'!$A1:$H321,7,FALSE)</f>
        <v/>
      </c>
      <c r="R153" s="198" t="str">
        <f>VLOOKUP($B153,'Standards Crosswalk'!$A1:$H321,8,FALSE)</f>
        <v/>
      </c>
      <c r="S153" s="343">
        <f>VLOOKUP($B153,'Standards Crosswalk'!$A1:$I321,9,FALSE)</f>
        <v>1.1</v>
      </c>
      <c r="T153" s="181"/>
      <c r="U153" s="181"/>
      <c r="V153" s="181"/>
      <c r="W153" s="181"/>
      <c r="X153" s="181"/>
      <c r="Y153" s="181"/>
      <c r="Z153" s="6"/>
    </row>
    <row r="154" ht="72.0" customHeight="1">
      <c r="A154" s="334">
        <f t="shared" si="7"/>
        <v>152</v>
      </c>
      <c r="B154" s="335" t="s">
        <v>535</v>
      </c>
      <c r="C154" s="336" t="str">
        <f>VLOOKUP(B154,'HECVAT - Full'!A1:E312,2,FALSE)</f>
        <v>Do you have a documented policy for firewall change requests?</v>
      </c>
      <c r="D154" s="334" t="str">
        <f>VLOOKUP(B154,'HECVAT - Full'!A1:E312,4,FALSE)</f>
        <v>The firewall policy is here: https://ltiaas.com/compliance/Comprehensive_IT_Security_Policy.pdf page 40. We have a firewall change request form that must be completed and recorded for every firewall change. The form lists the change requested and checks/review that must be done before the change is implemented.</v>
      </c>
      <c r="E154" s="337" t="b">
        <f t="shared" si="8"/>
        <v>1</v>
      </c>
      <c r="F154" s="357" t="s">
        <v>3126</v>
      </c>
      <c r="G154" s="335" t="s">
        <v>90</v>
      </c>
      <c r="H154" s="338">
        <v>1.0</v>
      </c>
      <c r="I154" s="349" t="str">
        <f>VLOOKUP(B154,'HECVAT - Full'!A1:E312,3,FALSE)</f>
        <v>Yes</v>
      </c>
      <c r="J154" s="181">
        <f t="shared" ref="J154:J160" si="55">IF(G154=I154,1,0)</f>
        <v>1</v>
      </c>
      <c r="K154" s="181">
        <v>25.0</v>
      </c>
      <c r="L154" s="181">
        <f t="shared" si="6"/>
        <v>25</v>
      </c>
      <c r="M154" s="198" t="str">
        <f>VLOOKUP($B154,'Standards Crosswalk'!$A1:$H321,3,FALSE)</f>
        <v>CSC 9</v>
      </c>
      <c r="N154" s="198" t="str">
        <f>VLOOKUP($B154,'Standards Crosswalk'!$A1:$H321,4,FALSE)</f>
        <v/>
      </c>
      <c r="O154" s="198" t="str">
        <f>VLOOKUP($B154,'Standards Crosswalk'!$A1:$H321,5,FALSE)</f>
        <v>12.1.2</v>
      </c>
      <c r="P154" s="198" t="str">
        <f>VLOOKUP($B154,'Standards Crosswalk'!$A1:$H321,6,FALSE)</f>
        <v>PR.AC-5</v>
      </c>
      <c r="Q154" s="343" t="str">
        <f>VLOOKUP($B154,'Standards Crosswalk'!$A1:$H321,7,FALSE)</f>
        <v/>
      </c>
      <c r="R154" s="198" t="str">
        <f>VLOOKUP($B154,'Standards Crosswalk'!$A1:$H321,8,FALSE)</f>
        <v/>
      </c>
      <c r="S154" s="343">
        <f>VLOOKUP($B154,'Standards Crosswalk'!$A1:$I321,9,FALSE)</f>
        <v>1.1</v>
      </c>
      <c r="T154" s="181"/>
      <c r="U154" s="181"/>
      <c r="V154" s="181"/>
      <c r="W154" s="181"/>
      <c r="X154" s="181"/>
      <c r="Y154" s="181"/>
      <c r="Z154" s="6"/>
    </row>
    <row r="155" ht="72.0" customHeight="1">
      <c r="A155" s="334">
        <f t="shared" si="7"/>
        <v>153</v>
      </c>
      <c r="B155" s="335" t="s">
        <v>538</v>
      </c>
      <c r="C155" s="336" t="str">
        <f>VLOOKUP(B155,'HECVAT - Full'!A1:E312,2,FALSE)</f>
        <v>Have you implemented an Intrusion Detection System (network-based)?</v>
      </c>
      <c r="D155" s="358" t="str">
        <f>VLOOKUP(B155,'HECVAT - Full'!A1:E312,4,FALSE)</f>
        <v>From https://firebase.google.com/terms/data-processing-terms: Google employs multiple layers of network devices and intrusion detection to protect its external attack surface. Google considers potential attack vectors and incorporates appropriate purpose built technologies into external facing systems.</v>
      </c>
      <c r="E155" s="337" t="b">
        <f t="shared" si="8"/>
        <v>1</v>
      </c>
      <c r="F155" s="357" t="s">
        <v>3126</v>
      </c>
      <c r="G155" s="335" t="s">
        <v>90</v>
      </c>
      <c r="H155" s="338">
        <v>1.0</v>
      </c>
      <c r="I155" s="349" t="str">
        <f>VLOOKUP(B155,'HECVAT - Full'!A1:E312,3,FALSE)</f>
        <v>Yes</v>
      </c>
      <c r="J155" s="181">
        <f t="shared" si="55"/>
        <v>1</v>
      </c>
      <c r="K155" s="181">
        <v>25.0</v>
      </c>
      <c r="L155" s="181">
        <f t="shared" si="6"/>
        <v>25</v>
      </c>
      <c r="M155" s="198" t="str">
        <f>VLOOKUP($B155,'Standards Crosswalk'!$A1:$H321,3,FALSE)</f>
        <v>CSC 19</v>
      </c>
      <c r="N155" s="198" t="str">
        <f>VLOOKUP($B155,'Standards Crosswalk'!$A1:$H321,4,FALSE)</f>
        <v/>
      </c>
      <c r="O155" s="198" t="str">
        <f>VLOOKUP($B155,'Standards Crosswalk'!$A1:$H321,5,FALSE)</f>
        <v>13.1.2</v>
      </c>
      <c r="P155" s="198" t="str">
        <f>VLOOKUP($B155,'Standards Crosswalk'!$A1:$H321,6,FALSE)</f>
        <v>DE.CM-1</v>
      </c>
      <c r="Q155" s="198" t="str">
        <f>VLOOKUP($B155,'Standards Crosswalk'!$A1:$H321,7,FALSE)</f>
        <v>3.6.1, 3.14.6, 3.14.7</v>
      </c>
      <c r="R155" s="198" t="str">
        <f>VLOOKUP($B155,'Standards Crosswalk'!$A1:$H321,8,FALSE)</f>
        <v>IR-2, IR-4, IR-5</v>
      </c>
      <c r="S155" s="343">
        <f>VLOOKUP($B155,'Standards Crosswalk'!$A1:$I321,9,FALSE)</f>
        <v>11.4</v>
      </c>
      <c r="T155" s="181"/>
      <c r="U155" s="181"/>
      <c r="V155" s="181"/>
      <c r="W155" s="181"/>
      <c r="X155" s="181"/>
      <c r="Y155" s="181"/>
      <c r="Z155" s="6"/>
    </row>
    <row r="156" ht="72.0" customHeight="1">
      <c r="A156" s="334">
        <f t="shared" si="7"/>
        <v>154</v>
      </c>
      <c r="B156" s="335" t="s">
        <v>541</v>
      </c>
      <c r="C156" s="336" t="str">
        <f>VLOOKUP(B156,'HECVAT - Full'!A1:E312,2,FALSE)</f>
        <v>Have you implemented an Intrusion Prevention System (network-based)?</v>
      </c>
      <c r="D156" s="358" t="str">
        <f>VLOOKUP(B156,'HECVAT - Full'!A1:E312,4,FALSE)</f>
        <v>From https://firebase.google.com/terms/data-processing-terms: Google employs multiple layers of network devices and intrusion detection to protect its external attack surface. Google considers potential attack vectors and incorporates appropriate purpose built technologies into external facing systems.</v>
      </c>
      <c r="E156" s="337" t="b">
        <f t="shared" si="8"/>
        <v>0</v>
      </c>
      <c r="F156" s="357" t="s">
        <v>3126</v>
      </c>
      <c r="G156" s="335" t="s">
        <v>90</v>
      </c>
      <c r="H156" s="338">
        <v>1.0</v>
      </c>
      <c r="I156" s="349" t="str">
        <f>VLOOKUP(B156,'HECVAT - Full'!A1:E312,3,FALSE)</f>
        <v>Yes</v>
      </c>
      <c r="J156" s="181">
        <f t="shared" si="55"/>
        <v>1</v>
      </c>
      <c r="K156" s="181">
        <f>IF(H156=1,20,"")</f>
        <v>20</v>
      </c>
      <c r="L156" s="181">
        <f t="shared" si="6"/>
        <v>20</v>
      </c>
      <c r="M156" s="198" t="str">
        <f>VLOOKUP($B156,'Standards Crosswalk'!$A1:$H321,3,FALSE)</f>
        <v>CSC 19</v>
      </c>
      <c r="N156" s="198" t="str">
        <f>VLOOKUP($B156,'Standards Crosswalk'!$A1:$H321,4,FALSE)</f>
        <v/>
      </c>
      <c r="O156" s="198" t="str">
        <f>VLOOKUP($B156,'Standards Crosswalk'!$A1:$H321,5,FALSE)</f>
        <v>13.1.2</v>
      </c>
      <c r="P156" s="198" t="str">
        <f>VLOOKUP($B156,'Standards Crosswalk'!$A1:$H321,6,FALSE)</f>
        <v>DE.CM-1</v>
      </c>
      <c r="Q156" s="198" t="str">
        <f>VLOOKUP($B156,'Standards Crosswalk'!$A1:$H321,7,FALSE)</f>
        <v>3.6.1, 3.14.6, 3.14.7</v>
      </c>
      <c r="R156" s="198" t="str">
        <f>VLOOKUP($B156,'Standards Crosswalk'!$A1:$H321,8,FALSE)</f>
        <v>IR-2, IR-4, IR-5</v>
      </c>
      <c r="S156" s="343">
        <f>VLOOKUP($B156,'Standards Crosswalk'!$A1:$I321,9,FALSE)</f>
        <v>11.4</v>
      </c>
      <c r="T156" s="181"/>
      <c r="U156" s="181"/>
      <c r="V156" s="181"/>
      <c r="W156" s="181"/>
      <c r="X156" s="181"/>
      <c r="Y156" s="181"/>
      <c r="Z156" s="6"/>
    </row>
    <row r="157" ht="72.0" customHeight="1">
      <c r="A157" s="334">
        <f t="shared" si="7"/>
        <v>155</v>
      </c>
      <c r="B157" s="335" t="s">
        <v>544</v>
      </c>
      <c r="C157" s="336" t="str">
        <f>VLOOKUP(B157,'HECVAT - Full'!A1:E312,2,FALSE)</f>
        <v>Do you employ host-based intrusion detection?</v>
      </c>
      <c r="D157" s="358" t="str">
        <f>VLOOKUP(B157,'HECVAT - Full'!A1:E312,4,FALSE)</f>
        <v>From https://firebase.google.com/terms/data-processing-terms: Google employs multiple layers of network devices and intrusion detection to protect its external attack surface. Google considers potential attack vectors and incorporates appropriate purpose built technologies into external facing systems.</v>
      </c>
      <c r="E157" s="337" t="b">
        <f t="shared" si="8"/>
        <v>1</v>
      </c>
      <c r="F157" s="357" t="s">
        <v>3126</v>
      </c>
      <c r="G157" s="335" t="s">
        <v>90</v>
      </c>
      <c r="H157" s="338">
        <v>1.0</v>
      </c>
      <c r="I157" s="349" t="str">
        <f>VLOOKUP(B157,'HECVAT - Full'!A1:E312,3,FALSE)</f>
        <v>Yes</v>
      </c>
      <c r="J157" s="181">
        <f t="shared" si="55"/>
        <v>1</v>
      </c>
      <c r="K157" s="181">
        <v>25.0</v>
      </c>
      <c r="L157" s="181">
        <f t="shared" si="6"/>
        <v>25</v>
      </c>
      <c r="M157" s="198" t="str">
        <f>VLOOKUP($B157,'Standards Crosswalk'!$A1:$H321,3,FALSE)</f>
        <v>CSC 19</v>
      </c>
      <c r="N157" s="198" t="str">
        <f>VLOOKUP($B157,'Standards Crosswalk'!$A1:$H321,4,FALSE)</f>
        <v/>
      </c>
      <c r="O157" s="198" t="str">
        <f>VLOOKUP($B157,'Standards Crosswalk'!$A1:$H321,5,FALSE)</f>
        <v>13.1.2</v>
      </c>
      <c r="P157" s="198" t="str">
        <f>VLOOKUP($B157,'Standards Crosswalk'!$A1:$H321,6,FALSE)</f>
        <v>DE.CM-1</v>
      </c>
      <c r="Q157" s="198" t="str">
        <f>VLOOKUP($B157,'Standards Crosswalk'!$A1:$H321,7,FALSE)</f>
        <v>3.6.1, 3.14.6, 3.14.7</v>
      </c>
      <c r="R157" s="198" t="str">
        <f>VLOOKUP($B157,'Standards Crosswalk'!$A1:$H321,8,FALSE)</f>
        <v>IR-2, IR-4, IR-5</v>
      </c>
      <c r="S157" s="343">
        <f>VLOOKUP($B157,'Standards Crosswalk'!$A1:$I321,9,FALSE)</f>
        <v>11.4</v>
      </c>
      <c r="T157" s="181"/>
      <c r="U157" s="181"/>
      <c r="V157" s="181"/>
      <c r="W157" s="181"/>
      <c r="X157" s="181"/>
      <c r="Y157" s="181"/>
      <c r="Z157" s="6"/>
    </row>
    <row r="158" ht="72.0" customHeight="1">
      <c r="A158" s="334">
        <f t="shared" si="7"/>
        <v>156</v>
      </c>
      <c r="B158" s="335" t="s">
        <v>547</v>
      </c>
      <c r="C158" s="336" t="str">
        <f>VLOOKUP(B158,'HECVAT - Full'!A1:E312,2,FALSE)</f>
        <v>Do you employ host-based intrusion prevention?</v>
      </c>
      <c r="D158" s="358" t="str">
        <f>VLOOKUP(B158,'HECVAT - Full'!A1:E312,4,FALSE)</f>
        <v>From https://firebase.google.com/terms/data-processing-terms: Google employs multiple layers of network devices and intrusion detection to protect its external attack surface. Google considers potential attack vectors and incorporates appropriate purpose built technologies into external facing systems.</v>
      </c>
      <c r="E158" s="337" t="b">
        <f t="shared" si="8"/>
        <v>0</v>
      </c>
      <c r="F158" s="357" t="s">
        <v>3126</v>
      </c>
      <c r="G158" s="335" t="s">
        <v>90</v>
      </c>
      <c r="H158" s="338">
        <v>1.0</v>
      </c>
      <c r="I158" s="349" t="str">
        <f>VLOOKUP(B158,'HECVAT - Full'!A1:E312,3,FALSE)</f>
        <v>Yes</v>
      </c>
      <c r="J158" s="181">
        <f t="shared" si="55"/>
        <v>1</v>
      </c>
      <c r="K158" s="181">
        <f t="shared" ref="K158:K159" si="56">IF(H158=1,20,"")</f>
        <v>20</v>
      </c>
      <c r="L158" s="181">
        <f t="shared" si="6"/>
        <v>20</v>
      </c>
      <c r="M158" s="198" t="str">
        <f>VLOOKUP($B158,'Standards Crosswalk'!$A1:$H321,3,FALSE)</f>
        <v>CSC 19</v>
      </c>
      <c r="N158" s="198" t="str">
        <f>VLOOKUP($B158,'Standards Crosswalk'!$A1:$H321,4,FALSE)</f>
        <v/>
      </c>
      <c r="O158" s="198" t="str">
        <f>VLOOKUP($B158,'Standards Crosswalk'!$A1:$H321,5,FALSE)</f>
        <v>13.1.2</v>
      </c>
      <c r="P158" s="198" t="str">
        <f>VLOOKUP($B158,'Standards Crosswalk'!$A1:$H321,6,FALSE)</f>
        <v>DE.CM-1</v>
      </c>
      <c r="Q158" s="198" t="str">
        <f>VLOOKUP($B158,'Standards Crosswalk'!$A1:$H321,7,FALSE)</f>
        <v>3.6.1, 3.14.6, 3.14.7</v>
      </c>
      <c r="R158" s="198" t="str">
        <f>VLOOKUP($B158,'Standards Crosswalk'!$A1:$H321,8,FALSE)</f>
        <v>IR-2, IR-4, IR-5</v>
      </c>
      <c r="S158" s="343">
        <f>VLOOKUP($B158,'Standards Crosswalk'!$A1:$I321,9,FALSE)</f>
        <v>11.4</v>
      </c>
      <c r="T158" s="181"/>
      <c r="U158" s="181"/>
      <c r="V158" s="181"/>
      <c r="W158" s="181"/>
      <c r="X158" s="181"/>
      <c r="Y158" s="181"/>
      <c r="Z158" s="6"/>
    </row>
    <row r="159" ht="72.0" customHeight="1">
      <c r="A159" s="334">
        <f t="shared" si="7"/>
        <v>157</v>
      </c>
      <c r="B159" s="335" t="s">
        <v>550</v>
      </c>
      <c r="C159" s="336" t="str">
        <f>VLOOKUP(B159,'HECVAT - Full'!A1:E312,2,FALSE)</f>
        <v>Are you employing any next-generation persistent threat (NGPT) monitoring?</v>
      </c>
      <c r="D159" s="358" t="str">
        <f>VLOOKUP(B159,'HECVAT - Full'!A1:E312,4,FALSE)</f>
        <v>We are are doing the following:
- Google Cloud has several layers of threat protection
- We use Google Cloud to actively monitor our services in real time and keep an audit history
- Before any container/code deployment, we have a vulnerability scanner that detects any open CVEs and code quality issues. These scanners are run regularly on deployed code/containers</v>
      </c>
      <c r="E159" s="337" t="b">
        <f t="shared" si="8"/>
        <v>0</v>
      </c>
      <c r="F159" s="357" t="s">
        <v>3126</v>
      </c>
      <c r="G159" s="335" t="s">
        <v>90</v>
      </c>
      <c r="H159" s="338">
        <v>1.0</v>
      </c>
      <c r="I159" s="349" t="str">
        <f>VLOOKUP(B159,'HECVAT - Full'!A1:E312,3,FALSE)</f>
        <v>Yes</v>
      </c>
      <c r="J159" s="181">
        <f t="shared" si="55"/>
        <v>1</v>
      </c>
      <c r="K159" s="181">
        <f t="shared" si="56"/>
        <v>20</v>
      </c>
      <c r="L159" s="181">
        <f t="shared" si="6"/>
        <v>20</v>
      </c>
      <c r="M159" s="198" t="str">
        <f>VLOOKUP($B159,'Standards Crosswalk'!$A1:$H321,3,FALSE)</f>
        <v>CSC 19</v>
      </c>
      <c r="N159" s="198" t="str">
        <f>VLOOKUP($B159,'Standards Crosswalk'!$A1:$H321,4,FALSE)</f>
        <v/>
      </c>
      <c r="O159" s="198" t="str">
        <f>VLOOKUP($B159,'Standards Crosswalk'!$A1:$H321,5,FALSE)</f>
        <v>12.4.1</v>
      </c>
      <c r="P159" s="198" t="str">
        <f>VLOOKUP($B159,'Standards Crosswalk'!$A1:$H321,6,FALSE)</f>
        <v/>
      </c>
      <c r="Q159" s="198" t="str">
        <f>VLOOKUP($B159,'Standards Crosswalk'!$A1:$H321,7,FALSE)</f>
        <v>3.6.1, 3.14.6, 3.14.7</v>
      </c>
      <c r="R159" s="198" t="str">
        <f>VLOOKUP($B159,'Standards Crosswalk'!$A1:$H321,8,FALSE)</f>
        <v>IR-2, IR-4, IR-5</v>
      </c>
      <c r="S159" s="343">
        <f>VLOOKUP($B159,'Standards Crosswalk'!$A1:$I321,9,FALSE)</f>
        <v>11.5</v>
      </c>
      <c r="T159" s="181"/>
      <c r="U159" s="181"/>
      <c r="V159" s="181"/>
      <c r="W159" s="181"/>
      <c r="X159" s="181"/>
      <c r="Y159" s="181"/>
      <c r="Z159" s="6"/>
    </row>
    <row r="160" ht="72.0" customHeight="1">
      <c r="A160" s="334">
        <f t="shared" si="7"/>
        <v>158</v>
      </c>
      <c r="B160" s="335" t="s">
        <v>553</v>
      </c>
      <c r="C160" s="336" t="str">
        <f>VLOOKUP(B160,'HECVAT - Full'!A1:E312,2,FALSE)</f>
        <v>Do you monitor for intrusions on a 24x7x365 basis?</v>
      </c>
      <c r="D160" s="358" t="str">
        <f>VLOOKUP(B160,'HECVAT - Full'!A1:E312,4,FALSE)</f>
        <v/>
      </c>
      <c r="E160" s="337" t="b">
        <f t="shared" si="8"/>
        <v>0</v>
      </c>
      <c r="F160" s="357" t="s">
        <v>3126</v>
      </c>
      <c r="G160" s="335" t="s">
        <v>90</v>
      </c>
      <c r="H160" s="338">
        <v>1.0</v>
      </c>
      <c r="I160" s="349" t="str">
        <f>VLOOKUP(B160,'HECVAT - Full'!A1:E312,3,FALSE)</f>
        <v>Yes</v>
      </c>
      <c r="J160" s="181">
        <f t="shared" si="55"/>
        <v>1</v>
      </c>
      <c r="K160" s="181">
        <f>IF(H160=1,15,"")</f>
        <v>15</v>
      </c>
      <c r="L160" s="181">
        <f t="shared" si="6"/>
        <v>15</v>
      </c>
      <c r="M160" s="198" t="str">
        <f>VLOOKUP($B160,'Standards Crosswalk'!$A1:$H321,3,FALSE)</f>
        <v>CSC 19</v>
      </c>
      <c r="N160" s="198" t="str">
        <f>VLOOKUP($B160,'Standards Crosswalk'!$A1:$H321,4,FALSE)</f>
        <v/>
      </c>
      <c r="O160" s="198" t="str">
        <f>VLOOKUP($B160,'Standards Crosswalk'!$A1:$H321,5,FALSE)</f>
        <v>12.4.1</v>
      </c>
      <c r="P160" s="198" t="str">
        <f>VLOOKUP($B160,'Standards Crosswalk'!$A1:$H321,6,FALSE)</f>
        <v>DE.CM-1, DE.CM-2, DE.CM-7</v>
      </c>
      <c r="Q160" s="198" t="str">
        <f>VLOOKUP($B160,'Standards Crosswalk'!$A1:$H321,7,FALSE)</f>
        <v>3.6.1, 3.14.6, 3.14.7</v>
      </c>
      <c r="R160" s="198" t="str">
        <f>VLOOKUP($B160,'Standards Crosswalk'!$A1:$H321,8,FALSE)</f>
        <v>IR-2, IR-4, IR-5</v>
      </c>
      <c r="S160" s="343">
        <f>VLOOKUP($B160,'Standards Crosswalk'!$A1:$I321,9,FALSE)</f>
        <v>11.4</v>
      </c>
      <c r="T160" s="181"/>
      <c r="U160" s="181"/>
      <c r="V160" s="181"/>
      <c r="W160" s="181"/>
      <c r="X160" s="181"/>
      <c r="Y160" s="181"/>
      <c r="Z160" s="6"/>
    </row>
    <row r="161" ht="72.0" customHeight="1">
      <c r="A161" s="334">
        <f t="shared" si="7"/>
        <v>159</v>
      </c>
      <c r="B161" s="335" t="s">
        <v>555</v>
      </c>
      <c r="C161" s="336" t="str">
        <f>VLOOKUP(B161,'HECVAT - Full'!A1:E312,2,FALSE)</f>
        <v>Is intrusion monitoring performed internally or by a third-party service?</v>
      </c>
      <c r="D161" s="334" t="str">
        <f>VLOOKUP(B161,'HECVAT - Full'!A1:E312,4,FALSE)</f>
        <v/>
      </c>
      <c r="E161" s="337" t="b">
        <f t="shared" si="8"/>
        <v>0</v>
      </c>
      <c r="F161" s="357" t="s">
        <v>3126</v>
      </c>
      <c r="G161" s="335" t="s">
        <v>90</v>
      </c>
      <c r="H161" s="338">
        <f>IF(I160="Yes",1,0)</f>
        <v>1</v>
      </c>
      <c r="I161" s="349" t="str">
        <f>VLOOKUP(B161,'HECVAT - Full'!A1:E312,3,FALSE)</f>
        <v>third-party: Google Cloud</v>
      </c>
      <c r="J161" s="181">
        <f>IF(VLOOKUP(B161,'Analyst Report'!$A$41:$G$88,7,FALSE)="Yes",1,0)</f>
        <v>0</v>
      </c>
      <c r="K161" s="198">
        <f>IF(H161=1,20,"")</f>
        <v>20</v>
      </c>
      <c r="L161" s="198">
        <f t="shared" si="6"/>
        <v>0</v>
      </c>
      <c r="M161" s="198" t="str">
        <f>VLOOKUP($B161,'Standards Crosswalk'!$A1:$H321,3,FALSE)</f>
        <v>CSC 6, CSC 19</v>
      </c>
      <c r="N161" s="198" t="str">
        <f>VLOOKUP($B161,'Standards Crosswalk'!$A1:$H321,4,FALSE)</f>
        <v/>
      </c>
      <c r="O161" s="198" t="str">
        <f>VLOOKUP($B161,'Standards Crosswalk'!$A1:$H321,5,FALSE)</f>
        <v>12.4.1</v>
      </c>
      <c r="P161" s="198" t="str">
        <f>VLOOKUP($B161,'Standards Crosswalk'!$A1:$H321,6,FALSE)</f>
        <v>DE.CM-1, DE.CM-2, DE.CM-7</v>
      </c>
      <c r="Q161" s="198" t="str">
        <f>VLOOKUP($B161,'Standards Crosswalk'!$A1:$H321,7,FALSE)</f>
        <v>3.6.1, 3.14.6, 3.14.7</v>
      </c>
      <c r="R161" s="198" t="str">
        <f>VLOOKUP($B161,'Standards Crosswalk'!$A1:$H321,8,FALSE)</f>
        <v>IR-2, IR-4, IR-5</v>
      </c>
      <c r="S161" s="198" t="str">
        <f>VLOOKUP($B161,'Standards Crosswalk'!$A1:$I321,9,FALSE)</f>
        <v>11.4, 12.8</v>
      </c>
      <c r="T161" s="181"/>
      <c r="U161" s="181"/>
      <c r="V161" s="181"/>
      <c r="W161" s="181"/>
      <c r="X161" s="181"/>
      <c r="Y161" s="181"/>
      <c r="Z161" s="6"/>
    </row>
    <row r="162" ht="72.0" customHeight="1">
      <c r="A162" s="334">
        <f t="shared" si="7"/>
        <v>160</v>
      </c>
      <c r="B162" s="335" t="s">
        <v>559</v>
      </c>
      <c r="C162" s="336" t="str">
        <f>VLOOKUP(B162,'HECVAT - Full'!A1:E312,2,FALSE)</f>
        <v>Are audit logs available for all changes to the network, firewall, IDS, and IPS systems?</v>
      </c>
      <c r="D162" s="358" t="str">
        <f>VLOOKUP(B162,'HECVAT - Full'!A1:E312,4,FALSE)</f>
        <v>Logs are captured and retained for 7 days via Google Cloud</v>
      </c>
      <c r="E162" s="337" t="b">
        <f t="shared" si="8"/>
        <v>1</v>
      </c>
      <c r="F162" s="357" t="s">
        <v>3126</v>
      </c>
      <c r="G162" s="335" t="s">
        <v>90</v>
      </c>
      <c r="H162" s="338">
        <v>1.0</v>
      </c>
      <c r="I162" s="349" t="str">
        <f>VLOOKUP(B162,'HECVAT - Full'!A1:E312,3,FALSE)</f>
        <v>Yes</v>
      </c>
      <c r="J162" s="181">
        <f>IF(G162=I162,1,0)</f>
        <v>1</v>
      </c>
      <c r="K162" s="181">
        <f>IF(H162=1,25,"")</f>
        <v>25</v>
      </c>
      <c r="L162" s="181">
        <f t="shared" si="6"/>
        <v>25</v>
      </c>
      <c r="M162" s="198" t="str">
        <f>VLOOKUP($B162,'Standards Crosswalk'!$A1:$H321,3,FALSE)</f>
        <v>CSC 6</v>
      </c>
      <c r="N162" s="198" t="str">
        <f>VLOOKUP($B162,'Standards Crosswalk'!$A1:$H321,4,FALSE)</f>
        <v/>
      </c>
      <c r="O162" s="198" t="str">
        <f>VLOOKUP($B162,'Standards Crosswalk'!$A1:$H321,5,FALSE)</f>
        <v>12.4.1</v>
      </c>
      <c r="P162" s="198" t="str">
        <f>VLOOKUP($B162,'Standards Crosswalk'!$A1:$H321,6,FALSE)</f>
        <v>DE.AE-1, DE.CM-1, PR.PT-4</v>
      </c>
      <c r="Q162" s="198" t="str">
        <f>VLOOKUP($B162,'Standards Crosswalk'!$A1:$H321,7,FALSE)</f>
        <v>3.3.1</v>
      </c>
      <c r="R162" s="198" t="str">
        <f>VLOOKUP($B162,'Standards Crosswalk'!$A1:$H321,8,FALSE)</f>
        <v>AU-2</v>
      </c>
      <c r="S162" s="198" t="str">
        <f>VLOOKUP($B162,'Standards Crosswalk'!$A1:$I321,9,FALSE)</f>
        <v>1.1, 10.8, 10.6, 10.3, 10.2, 11.4</v>
      </c>
      <c r="T162" s="181"/>
      <c r="U162" s="181"/>
      <c r="V162" s="181"/>
      <c r="W162" s="181"/>
      <c r="X162" s="181"/>
      <c r="Y162" s="181"/>
      <c r="Z162" s="6"/>
    </row>
    <row r="163" ht="43.5" customHeight="1">
      <c r="A163" s="334">
        <f t="shared" si="7"/>
        <v>161</v>
      </c>
      <c r="B163" s="335" t="s">
        <v>562</v>
      </c>
      <c r="C163" s="336" t="str">
        <f>VLOOKUP(B163,'HECVAT - Full'!A1:E312,2,FALSE)</f>
        <v>On which mobile operating systems is your software or service supported?</v>
      </c>
      <c r="D163" s="334" t="str">
        <f>VLOOKUP(B163,'HECVAT - Full'!A1:E312,4,FALSE)</f>
        <v/>
      </c>
      <c r="E163" s="337" t="b">
        <f t="shared" si="8"/>
        <v>0</v>
      </c>
      <c r="F163" s="357" t="s">
        <v>3138</v>
      </c>
      <c r="G163" s="335" t="s">
        <v>90</v>
      </c>
      <c r="H163" s="338">
        <v>1.0</v>
      </c>
      <c r="I163" s="349" t="str">
        <f>VLOOKUP(B163,'HECVAT - Full'!A1:E312,3,FALSE)</f>
        <v/>
      </c>
      <c r="J163" s="181">
        <f>IF(VLOOKUP(B163,'Analyst Report'!$A$41:$G$88,7,FALSE)="Yes",1,0)</f>
        <v>0</v>
      </c>
      <c r="K163" s="181">
        <f>IF(H163=1,15,"")</f>
        <v>15</v>
      </c>
      <c r="L163" s="181">
        <f t="shared" si="6"/>
        <v>0</v>
      </c>
      <c r="M163" s="198" t="str">
        <f>VLOOKUP($B163,'Standards Crosswalk'!$A1:$H321,3,FALSE)</f>
        <v>CSC 18</v>
      </c>
      <c r="N163" s="198" t="str">
        <f>VLOOKUP($B163,'Standards Crosswalk'!$A1:$H321,4,FALSE)</f>
        <v/>
      </c>
      <c r="O163" s="198" t="str">
        <f>VLOOKUP($B163,'Standards Crosswalk'!$A1:$H321,5,FALSE)</f>
        <v/>
      </c>
      <c r="P163" s="198" t="str">
        <f>VLOOKUP($B163,'Standards Crosswalk'!$A1:$H321,6,FALSE)</f>
        <v/>
      </c>
      <c r="Q163" s="343" t="str">
        <f>VLOOKUP($B163,'Standards Crosswalk'!$A1:$H321,7,FALSE)</f>
        <v/>
      </c>
      <c r="R163" s="198" t="str">
        <f>VLOOKUP($B163,'Standards Crosswalk'!$A1:$H321,8,FALSE)</f>
        <v/>
      </c>
      <c r="S163" s="198" t="str">
        <f>VLOOKUP($B163,'Standards Crosswalk'!$A1:$I321,9,FALSE)</f>
        <v/>
      </c>
      <c r="T163" s="181"/>
      <c r="U163" s="181"/>
      <c r="V163" s="181"/>
      <c r="W163" s="181"/>
      <c r="X163" s="181"/>
      <c r="Y163" s="181"/>
      <c r="Z163" s="6"/>
    </row>
    <row r="164" ht="43.5" customHeight="1">
      <c r="A164" s="334">
        <f t="shared" si="7"/>
        <v>162</v>
      </c>
      <c r="B164" s="335" t="s">
        <v>565</v>
      </c>
      <c r="C164" s="336" t="str">
        <f>VLOOKUP(B164,'HECVAT - Full'!A1:E312,2,FALSE)</f>
        <v>Describe or provide a reference to the application's architecture and functionality.</v>
      </c>
      <c r="D164" s="334" t="str">
        <f>VLOOKUP(B164,'HECVAT - Full'!A1:E312,4,FALSE)</f>
        <v/>
      </c>
      <c r="E164" s="337" t="b">
        <f t="shared" si="8"/>
        <v>0</v>
      </c>
      <c r="F164" s="357" t="s">
        <v>3138</v>
      </c>
      <c r="G164" s="335" t="s">
        <v>90</v>
      </c>
      <c r="H164" s="338">
        <v>1.0</v>
      </c>
      <c r="I164" s="349" t="str">
        <f>VLOOKUP(B164,'HECVAT - Full'!A1:E312,3,FALSE)</f>
        <v/>
      </c>
      <c r="J164" s="181">
        <f>IF(VLOOKUP(B164,'Analyst Report'!$A$41:$G$88,7,FALSE)="Yes",1,0)</f>
        <v>0</v>
      </c>
      <c r="K164" s="181">
        <f>IF(H164=1,20,"")</f>
        <v>20</v>
      </c>
      <c r="L164" s="181">
        <f t="shared" si="6"/>
        <v>0</v>
      </c>
      <c r="M164" s="198" t="str">
        <f>VLOOKUP($B164,'Standards Crosswalk'!$A1:$H321,3,FALSE)</f>
        <v>CSC 3</v>
      </c>
      <c r="N164" s="198" t="str">
        <f>VLOOKUP($B164,'Standards Crosswalk'!$A1:$H321,4,FALSE)</f>
        <v/>
      </c>
      <c r="O164" s="198" t="str">
        <f>VLOOKUP($B164,'Standards Crosswalk'!$A1:$H321,5,FALSE)</f>
        <v/>
      </c>
      <c r="P164" s="198" t="str">
        <f>VLOOKUP($B164,'Standards Crosswalk'!$A1:$H321,6,FALSE)</f>
        <v>DE.CM-7</v>
      </c>
      <c r="Q164" s="343" t="str">
        <f>VLOOKUP($B164,'Standards Crosswalk'!$A1:$H321,7,FALSE)</f>
        <v/>
      </c>
      <c r="R164" s="198" t="str">
        <f>VLOOKUP($B164,'Standards Crosswalk'!$A1:$H321,8,FALSE)</f>
        <v/>
      </c>
      <c r="S164" s="198" t="str">
        <f>VLOOKUP($B164,'Standards Crosswalk'!$A1:$I321,9,FALSE)</f>
        <v/>
      </c>
      <c r="T164" s="181"/>
      <c r="U164" s="181"/>
      <c r="V164" s="181"/>
      <c r="W164" s="181"/>
      <c r="X164" s="181"/>
      <c r="Y164" s="181"/>
      <c r="Z164" s="6"/>
    </row>
    <row r="165" ht="43.5" customHeight="1">
      <c r="A165" s="334">
        <f t="shared" si="7"/>
        <v>163</v>
      </c>
      <c r="B165" s="335" t="s">
        <v>568</v>
      </c>
      <c r="C165" s="336" t="str">
        <f>VLOOKUP(B165,'HECVAT - Full'!A1:E312,2,FALSE)</f>
        <v>Is the application available from a trusted source (e.g., iTunes App Store, Android Market, BB World)?</v>
      </c>
      <c r="D165" s="358" t="str">
        <f>VLOOKUP(B165,'HECVAT - Full'!A1:E312,4,FALSE)</f>
        <v/>
      </c>
      <c r="E165" s="337" t="b">
        <f t="shared" si="8"/>
        <v>1</v>
      </c>
      <c r="F165" s="357" t="s">
        <v>3138</v>
      </c>
      <c r="G165" s="335" t="s">
        <v>90</v>
      </c>
      <c r="H165" s="338">
        <v>1.0</v>
      </c>
      <c r="I165" s="349" t="str">
        <f>VLOOKUP(B165,'HECVAT - Full'!A1:E312,3,FALSE)</f>
        <v/>
      </c>
      <c r="J165" s="181">
        <f t="shared" ref="J165:J169" si="57">IF(G165=I165,1,0)</f>
        <v>0</v>
      </c>
      <c r="K165" s="181">
        <f>IF(H165=1,25,"")</f>
        <v>25</v>
      </c>
      <c r="L165" s="181">
        <f t="shared" si="6"/>
        <v>0</v>
      </c>
      <c r="M165" s="198" t="str">
        <f>VLOOKUP($B165,'Standards Crosswalk'!$A1:$H321,3,FALSE)</f>
        <v>CSC 18</v>
      </c>
      <c r="N165" s="198" t="str">
        <f>VLOOKUP($B165,'Standards Crosswalk'!$A1:$H321,4,FALSE)</f>
        <v/>
      </c>
      <c r="O165" s="198" t="str">
        <f>VLOOKUP($B165,'Standards Crosswalk'!$A1:$H321,5,FALSE)</f>
        <v/>
      </c>
      <c r="P165" s="198" t="str">
        <f>VLOOKUP($B165,'Standards Crosswalk'!$A1:$H321,6,FALSE)</f>
        <v>DE.CM-7</v>
      </c>
      <c r="Q165" s="343" t="str">
        <f>VLOOKUP($B165,'Standards Crosswalk'!$A1:$H321,7,FALSE)</f>
        <v/>
      </c>
      <c r="R165" s="198" t="str">
        <f>VLOOKUP($B165,'Standards Crosswalk'!$A1:$H321,8,FALSE)</f>
        <v/>
      </c>
      <c r="S165" s="198" t="str">
        <f>VLOOKUP($B165,'Standards Crosswalk'!$A1:$I321,9,FALSE)</f>
        <v/>
      </c>
      <c r="T165" s="181"/>
      <c r="U165" s="181"/>
      <c r="V165" s="181"/>
      <c r="W165" s="181"/>
      <c r="X165" s="181"/>
      <c r="Y165" s="181"/>
      <c r="Z165" s="6"/>
    </row>
    <row r="166" ht="43.5" customHeight="1">
      <c r="A166" s="334">
        <f t="shared" si="7"/>
        <v>164</v>
      </c>
      <c r="B166" s="335" t="s">
        <v>570</v>
      </c>
      <c r="C166" s="336" t="str">
        <f>VLOOKUP(B166,'HECVAT - Full'!A1:E312,2,FALSE)</f>
        <v>Does the application store, process, or transmit critical data?</v>
      </c>
      <c r="D166" s="358" t="str">
        <f>VLOOKUP(B166,'HECVAT - Full'!A1:E312,4,FALSE)</f>
        <v/>
      </c>
      <c r="E166" s="337" t="b">
        <f t="shared" si="8"/>
        <v>0</v>
      </c>
      <c r="F166" s="357" t="s">
        <v>3138</v>
      </c>
      <c r="G166" s="335" t="s">
        <v>85</v>
      </c>
      <c r="H166" s="338">
        <v>1.0</v>
      </c>
      <c r="I166" s="349" t="str">
        <f>VLOOKUP(B166,'HECVAT - Full'!A1:E312,3,FALSE)</f>
        <v/>
      </c>
      <c r="J166" s="181">
        <f t="shared" si="57"/>
        <v>0</v>
      </c>
      <c r="K166" s="181">
        <f>IF(H166=1,20,"")</f>
        <v>20</v>
      </c>
      <c r="L166" s="181">
        <f t="shared" si="6"/>
        <v>0</v>
      </c>
      <c r="M166" s="198" t="str">
        <f>VLOOKUP($B166,'Standards Crosswalk'!$A1:$H321,3,FALSE)</f>
        <v>CSC 13, CSC 18</v>
      </c>
      <c r="N166" s="198" t="str">
        <f>VLOOKUP($B166,'Standards Crosswalk'!$A1:$H321,4,FALSE)</f>
        <v/>
      </c>
      <c r="O166" s="198" t="str">
        <f>VLOOKUP($B166,'Standards Crosswalk'!$A1:$H321,5,FALSE)</f>
        <v>8.2.1; 8.2.3</v>
      </c>
      <c r="P166" s="198" t="str">
        <f>VLOOKUP($B166,'Standards Crosswalk'!$A1:$H321,6,FALSE)</f>
        <v>DE.CM-7, PR.DS-2</v>
      </c>
      <c r="Q166" s="343" t="str">
        <f>VLOOKUP($B166,'Standards Crosswalk'!$A1:$H321,7,FALSE)</f>
        <v/>
      </c>
      <c r="R166" s="198" t="str">
        <f>VLOOKUP($B166,'Standards Crosswalk'!$A1:$H321,8,FALSE)</f>
        <v/>
      </c>
      <c r="S166" s="198" t="str">
        <f>VLOOKUP($B166,'Standards Crosswalk'!$A1:$I321,9,FALSE)</f>
        <v/>
      </c>
      <c r="T166" s="181"/>
      <c r="U166" s="181"/>
      <c r="V166" s="181"/>
      <c r="W166" s="181"/>
      <c r="X166" s="181"/>
      <c r="Y166" s="181"/>
      <c r="Z166" s="6"/>
    </row>
    <row r="167" ht="43.5" customHeight="1">
      <c r="A167" s="334">
        <f t="shared" si="7"/>
        <v>165</v>
      </c>
      <c r="B167" s="335" t="s">
        <v>572</v>
      </c>
      <c r="C167" s="336" t="str">
        <f>VLOOKUP(B167,'HECVAT - Full'!A1:E312,2,FALSE)</f>
        <v>Is Institution's data encrypted in transport?</v>
      </c>
      <c r="D167" s="358" t="str">
        <f>VLOOKUP(B167,'HECVAT - Full'!A1:E312,4,FALSE)</f>
        <v/>
      </c>
      <c r="E167" s="337" t="b">
        <f t="shared" si="8"/>
        <v>1</v>
      </c>
      <c r="F167" s="357" t="s">
        <v>3138</v>
      </c>
      <c r="G167" s="335" t="s">
        <v>90</v>
      </c>
      <c r="H167" s="338">
        <v>1.0</v>
      </c>
      <c r="I167" s="349" t="str">
        <f>VLOOKUP(B167,'HECVAT - Full'!A1:E312,3,FALSE)</f>
        <v/>
      </c>
      <c r="J167" s="181">
        <f t="shared" si="57"/>
        <v>0</v>
      </c>
      <c r="K167" s="181">
        <f>IF(H167=1,25,"")</f>
        <v>25</v>
      </c>
      <c r="L167" s="181">
        <f t="shared" si="6"/>
        <v>0</v>
      </c>
      <c r="M167" s="198" t="str">
        <f>VLOOKUP($B167,'Standards Crosswalk'!$A1:$H321,3,FALSE)</f>
        <v>CSC 13</v>
      </c>
      <c r="N167" s="198" t="str">
        <f>VLOOKUP($B167,'Standards Crosswalk'!$A1:$H321,4,FALSE)</f>
        <v/>
      </c>
      <c r="O167" s="198" t="str">
        <f>VLOOKUP($B167,'Standards Crosswalk'!$A1:$H321,5,FALSE)</f>
        <v>8.2.3</v>
      </c>
      <c r="P167" s="198" t="str">
        <f>VLOOKUP($B167,'Standards Crosswalk'!$A1:$H321,6,FALSE)</f>
        <v>DE.CM-7, PR.DS-2</v>
      </c>
      <c r="Q167" s="198" t="str">
        <f>VLOOKUP($B167,'Standards Crosswalk'!$A1:$H321,7,FALSE)</f>
        <v>3.1.19</v>
      </c>
      <c r="R167" s="198" t="str">
        <f>VLOOKUP($B167,'Standards Crosswalk'!$A1:$H321,8,FALSE)</f>
        <v>AC-19(5)</v>
      </c>
      <c r="S167" s="343">
        <f>VLOOKUP($B167,'Standards Crosswalk'!$A1:$I321,9,FALSE)</f>
        <v>4.1</v>
      </c>
      <c r="T167" s="181"/>
      <c r="U167" s="181"/>
      <c r="V167" s="181"/>
      <c r="W167" s="181"/>
      <c r="X167" s="181"/>
      <c r="Y167" s="181"/>
      <c r="Z167" s="6"/>
    </row>
    <row r="168" ht="43.5" customHeight="1">
      <c r="A168" s="334">
        <f t="shared" si="7"/>
        <v>166</v>
      </c>
      <c r="B168" s="335" t="s">
        <v>574</v>
      </c>
      <c r="C168" s="336" t="str">
        <f>VLOOKUP(B168,'HECVAT - Full'!A1:E312,2,FALSE)</f>
        <v>Is Institution's data encrypted in storage? (e.g. disk encryption, at-rest)</v>
      </c>
      <c r="D168" s="358" t="str">
        <f>VLOOKUP(B168,'HECVAT - Full'!A1:E312,4,FALSE)</f>
        <v/>
      </c>
      <c r="E168" s="337" t="b">
        <f t="shared" si="8"/>
        <v>1</v>
      </c>
      <c r="F168" s="357" t="s">
        <v>3138</v>
      </c>
      <c r="G168" s="335" t="s">
        <v>90</v>
      </c>
      <c r="H168" s="338">
        <v>1.0</v>
      </c>
      <c r="I168" s="349" t="str">
        <f>VLOOKUP(B168,'HECVAT - Full'!A1:E312,3,FALSE)</f>
        <v/>
      </c>
      <c r="J168" s="181">
        <f t="shared" si="57"/>
        <v>0</v>
      </c>
      <c r="K168" s="181">
        <f>IF(H168=1,40,"")</f>
        <v>40</v>
      </c>
      <c r="L168" s="181">
        <f t="shared" si="6"/>
        <v>0</v>
      </c>
      <c r="M168" s="198" t="str">
        <f>VLOOKUP($B168,'Standards Crosswalk'!$A1:$H321,3,FALSE)</f>
        <v>CSC 14</v>
      </c>
      <c r="N168" s="198" t="str">
        <f>VLOOKUP($B168,'Standards Crosswalk'!$A1:$H321,4,FALSE)</f>
        <v/>
      </c>
      <c r="O168" s="198" t="str">
        <f>VLOOKUP($B168,'Standards Crosswalk'!$A1:$H321,5,FALSE)</f>
        <v>8.2.3</v>
      </c>
      <c r="P168" s="198" t="str">
        <f>VLOOKUP($B168,'Standards Crosswalk'!$A1:$H321,6,FALSE)</f>
        <v>DE.CM-7, PR.DS-1</v>
      </c>
      <c r="Q168" s="343" t="str">
        <f>VLOOKUP($B168,'Standards Crosswalk'!$A1:$H321,7,FALSE)</f>
        <v/>
      </c>
      <c r="R168" s="198" t="str">
        <f>VLOOKUP($B168,'Standards Crosswalk'!$A1:$H321,8,FALSE)</f>
        <v/>
      </c>
      <c r="S168" s="198" t="str">
        <f>VLOOKUP($B168,'Standards Crosswalk'!$A1:$I321,9,FALSE)</f>
        <v/>
      </c>
      <c r="T168" s="181"/>
      <c r="U168" s="181"/>
      <c r="V168" s="181"/>
      <c r="W168" s="181"/>
      <c r="X168" s="181"/>
      <c r="Y168" s="181"/>
      <c r="Z168" s="6"/>
    </row>
    <row r="169" ht="43.5" customHeight="1">
      <c r="A169" s="334">
        <f t="shared" si="7"/>
        <v>167</v>
      </c>
      <c r="B169" s="335" t="s">
        <v>576</v>
      </c>
      <c r="C169" s="336" t="str">
        <f>VLOOKUP(B169,'HECVAT - Full'!A1:E312,2,FALSE)</f>
        <v>Does the mobile application support Kerberos, CAS, or Active Directory authentication?</v>
      </c>
      <c r="D169" s="358" t="str">
        <f>VLOOKUP(B169,'HECVAT - Full'!A1:E312,4,FALSE)</f>
        <v/>
      </c>
      <c r="E169" s="337" t="b">
        <f t="shared" si="8"/>
        <v>1</v>
      </c>
      <c r="F169" s="357" t="s">
        <v>3138</v>
      </c>
      <c r="G169" s="335" t="s">
        <v>90</v>
      </c>
      <c r="H169" s="338">
        <v>1.0</v>
      </c>
      <c r="I169" s="349" t="str">
        <f>VLOOKUP(B169,'HECVAT - Full'!A1:E312,3,FALSE)</f>
        <v/>
      </c>
      <c r="J169" s="181">
        <f t="shared" si="57"/>
        <v>0</v>
      </c>
      <c r="K169" s="181">
        <f>IF(H169=1,25,"")</f>
        <v>25</v>
      </c>
      <c r="L169" s="181">
        <f t="shared" si="6"/>
        <v>0</v>
      </c>
      <c r="M169" s="198" t="str">
        <f>VLOOKUP($B169,'Standards Crosswalk'!$A1:$H321,3,FALSE)</f>
        <v>CSC 16</v>
      </c>
      <c r="N169" s="198" t="str">
        <f>VLOOKUP($B169,'Standards Crosswalk'!$A1:$H321,4,FALSE)</f>
        <v/>
      </c>
      <c r="O169" s="198" t="str">
        <f>VLOOKUP($B169,'Standards Crosswalk'!$A1:$H321,5,FALSE)</f>
        <v>9.4.2</v>
      </c>
      <c r="P169" s="198" t="str">
        <f>VLOOKUP($B169,'Standards Crosswalk'!$A1:$H321,6,FALSE)</f>
        <v/>
      </c>
      <c r="Q169" s="343" t="str">
        <f>VLOOKUP($B169,'Standards Crosswalk'!$A1:$H321,7,FALSE)</f>
        <v/>
      </c>
      <c r="R169" s="198" t="str">
        <f>VLOOKUP($B169,'Standards Crosswalk'!$A1:$H321,8,FALSE)</f>
        <v/>
      </c>
      <c r="S169" s="198" t="str">
        <f>VLOOKUP($B169,'Standards Crosswalk'!$A1:$I321,9,FALSE)</f>
        <v/>
      </c>
      <c r="T169" s="181"/>
      <c r="U169" s="181"/>
      <c r="V169" s="181"/>
      <c r="W169" s="181"/>
      <c r="X169" s="181"/>
      <c r="Y169" s="181"/>
      <c r="Z169" s="6"/>
    </row>
    <row r="170" ht="43.5" customHeight="1">
      <c r="A170" s="334">
        <f t="shared" si="7"/>
        <v>168</v>
      </c>
      <c r="B170" s="335" t="s">
        <v>578</v>
      </c>
      <c r="C170" s="336" t="str">
        <f>VLOOKUP(B170,'HECVAT - Full'!A1:E312,2,FALSE)</f>
        <v>Will any of these systems be implemented on systems hosting the Institution's data?</v>
      </c>
      <c r="D170" s="358" t="str">
        <f>VLOOKUP(B170,'HECVAT - Full'!A1:E312,4,FALSE)</f>
        <v/>
      </c>
      <c r="E170" s="337" t="b">
        <f t="shared" si="8"/>
        <v>0</v>
      </c>
      <c r="F170" s="357" t="s">
        <v>3138</v>
      </c>
      <c r="G170" s="335" t="s">
        <v>90</v>
      </c>
      <c r="H170" s="338">
        <v>1.0</v>
      </c>
      <c r="I170" s="349" t="str">
        <f>VLOOKUP(B170,'HECVAT - Full'!A1:E312,3,FALSE)</f>
        <v/>
      </c>
      <c r="J170" s="181">
        <f>IF(VLOOKUP(B170,'Analyst Report'!$A$41:$G$88,7,FALSE)="Yes",1,0)</f>
        <v>0</v>
      </c>
      <c r="K170" s="181">
        <f>IF(H170=1,20,"")</f>
        <v>20</v>
      </c>
      <c r="L170" s="181">
        <f t="shared" si="6"/>
        <v>0</v>
      </c>
      <c r="M170" s="198" t="str">
        <f>VLOOKUP($B170,'Standards Crosswalk'!$A1:$H321,3,FALSE)</f>
        <v>CSC 16</v>
      </c>
      <c r="N170" s="198" t="str">
        <f>VLOOKUP($B170,'Standards Crosswalk'!$A1:$H321,4,FALSE)</f>
        <v/>
      </c>
      <c r="O170" s="198" t="str">
        <f>VLOOKUP($B170,'Standards Crosswalk'!$A1:$H321,5,FALSE)</f>
        <v/>
      </c>
      <c r="P170" s="198" t="str">
        <f>VLOOKUP($B170,'Standards Crosswalk'!$A1:$H321,6,FALSE)</f>
        <v/>
      </c>
      <c r="Q170" s="343" t="str">
        <f>VLOOKUP($B170,'Standards Crosswalk'!$A1:$H321,7,FALSE)</f>
        <v/>
      </c>
      <c r="R170" s="198" t="str">
        <f>VLOOKUP($B170,'Standards Crosswalk'!$A1:$H321,8,FALSE)</f>
        <v/>
      </c>
      <c r="S170" s="198" t="str">
        <f>VLOOKUP($B170,'Standards Crosswalk'!$A1:$I321,9,FALSE)</f>
        <v/>
      </c>
      <c r="T170" s="181"/>
      <c r="U170" s="181"/>
      <c r="V170" s="181"/>
      <c r="W170" s="181"/>
      <c r="X170" s="181"/>
      <c r="Y170" s="181"/>
      <c r="Z170" s="6"/>
    </row>
    <row r="171" ht="43.5" customHeight="1">
      <c r="A171" s="334">
        <f t="shared" si="7"/>
        <v>169</v>
      </c>
      <c r="B171" s="335" t="s">
        <v>580</v>
      </c>
      <c r="C171" s="336" t="str">
        <f>VLOOKUP(B171,'HECVAT - Full'!A1:E312,2,FALSE)</f>
        <v>Does the application adhere to secure coding practices (e.g. OWASP, etc.)?</v>
      </c>
      <c r="D171" s="358" t="str">
        <f>VLOOKUP(B171,'HECVAT - Full'!A1:E312,4,FALSE)</f>
        <v/>
      </c>
      <c r="E171" s="337" t="b">
        <f t="shared" si="8"/>
        <v>1</v>
      </c>
      <c r="F171" s="357" t="s">
        <v>3138</v>
      </c>
      <c r="G171" s="335" t="s">
        <v>90</v>
      </c>
      <c r="H171" s="338">
        <v>1.0</v>
      </c>
      <c r="I171" s="349" t="str">
        <f>VLOOKUP(B171,'HECVAT - Full'!A1:E312,3,FALSE)</f>
        <v/>
      </c>
      <c r="J171" s="181">
        <f t="shared" ref="J171:J172" si="58">IF(G171=I171,1,0)</f>
        <v>0</v>
      </c>
      <c r="K171" s="181">
        <f t="shared" ref="K171:K173" si="59">IF(H171=1,25,"")</f>
        <v>25</v>
      </c>
      <c r="L171" s="181">
        <f t="shared" si="6"/>
        <v>0</v>
      </c>
      <c r="M171" s="198" t="str">
        <f>VLOOKUP($B171,'Standards Crosswalk'!$A1:$H321,3,FALSE)</f>
        <v>CSC 18</v>
      </c>
      <c r="N171" s="198" t="str">
        <f>VLOOKUP($B171,'Standards Crosswalk'!$A1:$H321,4,FALSE)</f>
        <v/>
      </c>
      <c r="O171" s="198" t="str">
        <f>VLOOKUP($B171,'Standards Crosswalk'!$A1:$H321,5,FALSE)</f>
        <v>14.2.1</v>
      </c>
      <c r="P171" s="198" t="str">
        <f>VLOOKUP($B171,'Standards Crosswalk'!$A1:$H321,6,FALSE)</f>
        <v>DE.CM-7</v>
      </c>
      <c r="Q171" s="343" t="str">
        <f>VLOOKUP($B171,'Standards Crosswalk'!$A1:$H321,7,FALSE)</f>
        <v/>
      </c>
      <c r="R171" s="198" t="str">
        <f>VLOOKUP($B171,'Standards Crosswalk'!$A1:$H321,8,FALSE)</f>
        <v/>
      </c>
      <c r="S171" s="198" t="str">
        <f>VLOOKUP($B171,'Standards Crosswalk'!$A1:$I321,9,FALSE)</f>
        <v/>
      </c>
      <c r="T171" s="181"/>
      <c r="U171" s="181"/>
      <c r="V171" s="181"/>
      <c r="W171" s="181"/>
      <c r="X171" s="181"/>
      <c r="Y171" s="181"/>
      <c r="Z171" s="6"/>
    </row>
    <row r="172" ht="43.5" customHeight="1">
      <c r="A172" s="334">
        <f t="shared" si="7"/>
        <v>170</v>
      </c>
      <c r="B172" s="335" t="s">
        <v>582</v>
      </c>
      <c r="C172" s="336" t="str">
        <f>VLOOKUP(B172,'HECVAT - Full'!A1:E312,2,FALSE)</f>
        <v>Has the application been tested for vulnerabilities by a third party?</v>
      </c>
      <c r="D172" s="358" t="str">
        <f>VLOOKUP(B172,'HECVAT - Full'!A1:E312,4,FALSE)</f>
        <v/>
      </c>
      <c r="E172" s="337" t="b">
        <f t="shared" si="8"/>
        <v>1</v>
      </c>
      <c r="F172" s="357" t="s">
        <v>3138</v>
      </c>
      <c r="G172" s="335" t="s">
        <v>90</v>
      </c>
      <c r="H172" s="338">
        <v>1.0</v>
      </c>
      <c r="I172" s="349" t="str">
        <f>VLOOKUP(B172,'HECVAT - Full'!A1:E312,3,FALSE)</f>
        <v/>
      </c>
      <c r="J172" s="181">
        <f t="shared" si="58"/>
        <v>0</v>
      </c>
      <c r="K172" s="181">
        <f t="shared" si="59"/>
        <v>25</v>
      </c>
      <c r="L172" s="181">
        <f t="shared" si="6"/>
        <v>0</v>
      </c>
      <c r="M172" s="198" t="str">
        <f>VLOOKUP($B172,'Standards Crosswalk'!$A1:$H321,3,FALSE)</f>
        <v>CSC 18</v>
      </c>
      <c r="N172" s="198" t="str">
        <f>VLOOKUP($B172,'Standards Crosswalk'!$A1:$H321,4,FALSE)</f>
        <v/>
      </c>
      <c r="O172" s="198" t="str">
        <f>VLOOKUP($B172,'Standards Crosswalk'!$A1:$H321,5,FALSE)</f>
        <v>12.7.1, 18.2.1</v>
      </c>
      <c r="P172" s="198" t="str">
        <f>VLOOKUP($B172,'Standards Crosswalk'!$A1:$H321,6,FALSE)</f>
        <v>DE.CM-7, DE.CM-8, ID.RA-1</v>
      </c>
      <c r="Q172" s="343" t="str">
        <f>VLOOKUP($B172,'Standards Crosswalk'!$A1:$H321,7,FALSE)</f>
        <v/>
      </c>
      <c r="R172" s="198" t="str">
        <f>VLOOKUP($B172,'Standards Crosswalk'!$A1:$H321,8,FALSE)</f>
        <v/>
      </c>
      <c r="S172" s="198" t="str">
        <f>VLOOKUP($B172,'Standards Crosswalk'!$A1:$I321,9,FALSE)</f>
        <v/>
      </c>
      <c r="T172" s="181"/>
      <c r="U172" s="181"/>
      <c r="V172" s="181"/>
      <c r="W172" s="181"/>
      <c r="X172" s="181"/>
      <c r="Y172" s="181"/>
      <c r="Z172" s="6"/>
    </row>
    <row r="173" ht="43.5" customHeight="1">
      <c r="A173" s="334">
        <f t="shared" si="7"/>
        <v>171</v>
      </c>
      <c r="B173" s="335" t="s">
        <v>584</v>
      </c>
      <c r="C173" s="336" t="str">
        <f>VLOOKUP(B173,'HECVAT - Full'!A1:E312,2,FALSE)</f>
        <v>State the party that performed the vulnerability test and the date it was conducted?</v>
      </c>
      <c r="D173" s="334" t="str">
        <f>VLOOKUP(B173,'HECVAT - Full'!A1:E312,4,FALSE)</f>
        <v/>
      </c>
      <c r="E173" s="337" t="b">
        <f t="shared" si="8"/>
        <v>1</v>
      </c>
      <c r="F173" s="357" t="s">
        <v>3138</v>
      </c>
      <c r="G173" s="335" t="s">
        <v>90</v>
      </c>
      <c r="H173" s="338">
        <v>1.0</v>
      </c>
      <c r="I173" s="349" t="str">
        <f>VLOOKUP(B173,'HECVAT - Full'!A1:E312,3,FALSE)</f>
        <v/>
      </c>
      <c r="J173" s="181">
        <f>IF(VLOOKUP(B173,'Analyst Report'!$A$41:$G$88,7,FALSE)="Yes",1,0)</f>
        <v>0</v>
      </c>
      <c r="K173" s="181">
        <f t="shared" si="59"/>
        <v>25</v>
      </c>
      <c r="L173" s="181">
        <f t="shared" si="6"/>
        <v>0</v>
      </c>
      <c r="M173" s="198" t="str">
        <f>VLOOKUP($B173,'Standards Crosswalk'!$A1:$H321,3,FALSE)</f>
        <v>CSC 18</v>
      </c>
      <c r="N173" s="198" t="str">
        <f>VLOOKUP($B173,'Standards Crosswalk'!$A1:$H321,4,FALSE)</f>
        <v/>
      </c>
      <c r="O173" s="198" t="str">
        <f>VLOOKUP($B173,'Standards Crosswalk'!$A1:$H321,5,FALSE)</f>
        <v>12.7.1, 18.2.1</v>
      </c>
      <c r="P173" s="198" t="str">
        <f>VLOOKUP($B173,'Standards Crosswalk'!$A1:$H321,6,FALSE)</f>
        <v>DE.CM-7, DE.CM-8, ID.RA-1</v>
      </c>
      <c r="Q173" s="343" t="str">
        <f>VLOOKUP($B173,'Standards Crosswalk'!$A1:$H321,7,FALSE)</f>
        <v/>
      </c>
      <c r="R173" s="198" t="str">
        <f>VLOOKUP($B173,'Standards Crosswalk'!$A1:$H321,8,FALSE)</f>
        <v/>
      </c>
      <c r="S173" s="198" t="str">
        <f>VLOOKUP($B173,'Standards Crosswalk'!$A1:$I321,9,FALSE)</f>
        <v/>
      </c>
      <c r="T173" s="181"/>
      <c r="U173" s="181"/>
      <c r="V173" s="181"/>
      <c r="W173" s="181"/>
      <c r="X173" s="181"/>
      <c r="Y173" s="181"/>
      <c r="Z173" s="6"/>
    </row>
    <row r="174" ht="72.0" customHeight="1">
      <c r="A174" s="334">
        <f t="shared" si="7"/>
        <v>172</v>
      </c>
      <c r="B174" s="335" t="s">
        <v>587</v>
      </c>
      <c r="C174" s="336" t="str">
        <f>VLOOKUP(B174,'HECVAT - Full'!A1:E312,2,FALSE)</f>
        <v>Does your organization have physical security controls and policies in place?</v>
      </c>
      <c r="D174" s="334" t="str">
        <f>VLOOKUP(B174,'HECVAT - Full'!A1:E312,4,FALSE)</f>
        <v>N/A, no physical office. We are work from home only</v>
      </c>
      <c r="E174" s="337" t="b">
        <f t="shared" si="8"/>
        <v>0</v>
      </c>
      <c r="F174" s="357" t="s">
        <v>3127</v>
      </c>
      <c r="G174" s="335" t="s">
        <v>90</v>
      </c>
      <c r="H174" s="338">
        <v>1.0</v>
      </c>
      <c r="I174" s="349" t="str">
        <f>VLOOKUP(B174,'HECVAT - Full'!A1:E312,3,FALSE)</f>
        <v>No</v>
      </c>
      <c r="J174" s="181">
        <f t="shared" ref="J174:J200" si="60">IF(G174=I174,1,0)</f>
        <v>0</v>
      </c>
      <c r="K174" s="181">
        <f>IF(H174=1,20,"")</f>
        <v>20</v>
      </c>
      <c r="L174" s="181">
        <f t="shared" si="6"/>
        <v>0</v>
      </c>
      <c r="M174" s="198" t="str">
        <f>VLOOKUP($B174,'Standards Crosswalk'!$A1:$H321,3,FALSE)</f>
        <v>CSC 3</v>
      </c>
      <c r="N174" s="198" t="str">
        <f>VLOOKUP($B174,'Standards Crosswalk'!$A1:$H321,4,FALSE)</f>
        <v/>
      </c>
      <c r="O174" s="198" t="str">
        <f>VLOOKUP($B174,'Standards Crosswalk'!$A1:$H321,5,FALSE)</f>
        <v>11.1.1</v>
      </c>
      <c r="P174" s="198" t="str">
        <f>VLOOKUP($B174,'Standards Crosswalk'!$A1:$H321,6,FALSE)</f>
        <v>PR.AC-2, PR.AT-5, PR.IP-5, DE.CM-2</v>
      </c>
      <c r="Q174" s="198" t="str">
        <f>VLOOKUP($B174,'Standards Crosswalk'!$A1:$H321,7,FALSE)</f>
        <v>3.8.2, 3.10.1, 3.10.2, 3.10.5, 3.10.6, 3.12.1</v>
      </c>
      <c r="R174" s="198" t="str">
        <f>VLOOKUP($B174,'Standards Crosswalk'!$A1:$H321,8,FALSE)</f>
        <v>MP-4, PE-2, PE-5, PE-6, PE-17</v>
      </c>
      <c r="S174" s="198" t="str">
        <f>VLOOKUP($B174,'Standards Crosswalk'!$A1:$I321,9,FALSE)</f>
        <v>9.x</v>
      </c>
      <c r="T174" s="181"/>
      <c r="U174" s="181"/>
      <c r="V174" s="181"/>
      <c r="W174" s="181"/>
      <c r="X174" s="181"/>
      <c r="Y174" s="181"/>
      <c r="Z174" s="6"/>
    </row>
    <row r="175" ht="72.0" customHeight="1">
      <c r="A175" s="334">
        <f t="shared" si="7"/>
        <v>173</v>
      </c>
      <c r="B175" s="335" t="s">
        <v>590</v>
      </c>
      <c r="C175" s="336" t="str">
        <f>VLOOKUP(B175,'HECVAT - Full'!A1:E312,2,FALSE)</f>
        <v>Are employees allowed to take home Institution's data in any form?</v>
      </c>
      <c r="D175" s="358" t="str">
        <f>VLOOKUP(B175,'HECVAT - Full'!A1:E312,4,FALSE)</f>
        <v>All customer data is stored on the cloud and not on employe computers. There is no need, nor facility to download customer data on to an employee computer.</v>
      </c>
      <c r="E175" s="337" t="b">
        <f t="shared" si="8"/>
        <v>1</v>
      </c>
      <c r="F175" s="357" t="s">
        <v>3127</v>
      </c>
      <c r="G175" s="335" t="s">
        <v>85</v>
      </c>
      <c r="H175" s="338">
        <v>1.0</v>
      </c>
      <c r="I175" s="349" t="str">
        <f>VLOOKUP(B175,'HECVAT - Full'!A1:E312,3,FALSE)</f>
        <v>No</v>
      </c>
      <c r="J175" s="181">
        <f t="shared" si="60"/>
        <v>1</v>
      </c>
      <c r="K175" s="181">
        <f>IF(H175=1,25,"")</f>
        <v>25</v>
      </c>
      <c r="L175" s="181">
        <f t="shared" si="6"/>
        <v>25</v>
      </c>
      <c r="M175" s="198" t="str">
        <f>VLOOKUP($B175,'Standards Crosswalk'!$A1:$H321,3,FALSE)</f>
        <v>CSC 13</v>
      </c>
      <c r="N175" s="198" t="str">
        <f>VLOOKUP($B175,'Standards Crosswalk'!$A1:$H321,4,FALSE)</f>
        <v/>
      </c>
      <c r="O175" s="198" t="str">
        <f>VLOOKUP($B175,'Standards Crosswalk'!$A1:$H321,5,FALSE)</f>
        <v>8.2.3</v>
      </c>
      <c r="P175" s="198" t="str">
        <f>VLOOKUP($B175,'Standards Crosswalk'!$A1:$H321,6,FALSE)</f>
        <v>PR.AC-2, PR.AC-4, PR.DS-1, PR.DS-3, PR.DS-5</v>
      </c>
      <c r="Q175" s="198" t="str">
        <f>VLOOKUP($B175,'Standards Crosswalk'!$A1:$H321,7,FALSE)</f>
        <v>3.8.1, 3.8.5, 3.8.7</v>
      </c>
      <c r="R175" s="198" t="str">
        <f>VLOOKUP($B175,'Standards Crosswalk'!$A1:$H321,8,FALSE)</f>
        <v>MP-2, MP-5, MP-7</v>
      </c>
      <c r="S175" s="198" t="str">
        <f>VLOOKUP($B175,'Standards Crosswalk'!$A1:$I321,9,FALSE)</f>
        <v>12.1, 9.x</v>
      </c>
      <c r="T175" s="181"/>
      <c r="U175" s="181"/>
      <c r="V175" s="181"/>
      <c r="W175" s="181"/>
      <c r="X175" s="181"/>
      <c r="Y175" s="181"/>
      <c r="Z175" s="6"/>
    </row>
    <row r="176" ht="29.25" customHeight="1">
      <c r="A176" s="334">
        <f t="shared" si="7"/>
        <v>174</v>
      </c>
      <c r="B176" s="335" t="s">
        <v>593</v>
      </c>
      <c r="C176" s="336" t="str">
        <f>VLOOKUP(B176,'HECVAT - Full'!A1:E312,2,FALSE)</f>
        <v>Are video monitoring feeds retained?</v>
      </c>
      <c r="D176" s="358" t="str">
        <f>VLOOKUP(B176,'HECVAT - Full'!A1:E312,4,FALSE)</f>
        <v/>
      </c>
      <c r="E176" s="337" t="b">
        <f t="shared" si="8"/>
        <v>0</v>
      </c>
      <c r="F176" s="357" t="s">
        <v>3127</v>
      </c>
      <c r="G176" s="335" t="s">
        <v>90</v>
      </c>
      <c r="H176" s="338">
        <v>1.0</v>
      </c>
      <c r="I176" s="349" t="str">
        <f>VLOOKUP(B176,'HECVAT - Full'!A1:E312,3,FALSE)</f>
        <v>No</v>
      </c>
      <c r="J176" s="181">
        <f t="shared" si="60"/>
        <v>0</v>
      </c>
      <c r="K176" s="181">
        <f t="shared" ref="K176:K177" si="61">IF(H176=1,20,"")</f>
        <v>20</v>
      </c>
      <c r="L176" s="181">
        <f t="shared" si="6"/>
        <v>0</v>
      </c>
      <c r="M176" s="198" t="str">
        <f>VLOOKUP($B176,'Standards Crosswalk'!$A1:$H321,3,FALSE)</f>
        <v>CSC 3</v>
      </c>
      <c r="N176" s="198" t="str">
        <f>VLOOKUP($B176,'Standards Crosswalk'!$A1:$H321,4,FALSE)</f>
        <v/>
      </c>
      <c r="O176" s="198" t="str">
        <f>VLOOKUP($B176,'Standards Crosswalk'!$A1:$H321,5,FALSE)</f>
        <v>11.1.2, 11.1.3</v>
      </c>
      <c r="P176" s="198" t="str">
        <f>VLOOKUP($B176,'Standards Crosswalk'!$A1:$H321,6,FALSE)</f>
        <v>DE.CM-2</v>
      </c>
      <c r="Q176" s="198" t="str">
        <f>VLOOKUP($B176,'Standards Crosswalk'!$A1:$H321,7,FALSE)</f>
        <v>3.10.2</v>
      </c>
      <c r="R176" s="198" t="str">
        <f>VLOOKUP($B176,'Standards Crosswalk'!$A1:$H321,8,FALSE)</f>
        <v>PE-6</v>
      </c>
      <c r="S176" s="198" t="str">
        <f>VLOOKUP($B176,'Standards Crosswalk'!$A1:$I321,9,FALSE)</f>
        <v>9.x</v>
      </c>
      <c r="T176" s="181"/>
      <c r="U176" s="181"/>
      <c r="V176" s="181"/>
      <c r="W176" s="181"/>
      <c r="X176" s="181"/>
      <c r="Y176" s="181"/>
      <c r="Z176" s="6"/>
    </row>
    <row r="177" ht="29.25" customHeight="1">
      <c r="A177" s="334">
        <f t="shared" si="7"/>
        <v>175</v>
      </c>
      <c r="B177" s="335" t="s">
        <v>595</v>
      </c>
      <c r="C177" s="336" t="str">
        <f>VLOOKUP(B177,'HECVAT - Full'!A1:E312,2,FALSE)</f>
        <v>Are video feeds monitored by datacenter staff?</v>
      </c>
      <c r="D177" s="358" t="str">
        <f>VLOOKUP(B177,'HECVAT - Full'!A1:E312,4,FALSE)</f>
        <v/>
      </c>
      <c r="E177" s="337" t="b">
        <f t="shared" si="8"/>
        <v>0</v>
      </c>
      <c r="F177" s="357" t="s">
        <v>3127</v>
      </c>
      <c r="G177" s="335" t="s">
        <v>90</v>
      </c>
      <c r="H177" s="338">
        <v>1.0</v>
      </c>
      <c r="I177" s="349" t="str">
        <f>VLOOKUP(B177,'HECVAT - Full'!A1:E312,3,FALSE)</f>
        <v>No</v>
      </c>
      <c r="J177" s="181">
        <f t="shared" si="60"/>
        <v>0</v>
      </c>
      <c r="K177" s="181">
        <f t="shared" si="61"/>
        <v>20</v>
      </c>
      <c r="L177" s="181">
        <f t="shared" si="6"/>
        <v>0</v>
      </c>
      <c r="M177" s="198" t="str">
        <f>VLOOKUP($B177,'Standards Crosswalk'!$A1:$H321,3,FALSE)</f>
        <v>CSC 3</v>
      </c>
      <c r="N177" s="198" t="str">
        <f>VLOOKUP($B177,'Standards Crosswalk'!$A1:$H321,4,FALSE)</f>
        <v/>
      </c>
      <c r="O177" s="198" t="str">
        <f>VLOOKUP($B177,'Standards Crosswalk'!$A1:$H321,5,FALSE)</f>
        <v>11.1.2,  11.1.3</v>
      </c>
      <c r="P177" s="198" t="str">
        <f>VLOOKUP($B177,'Standards Crosswalk'!$A1:$H321,6,FALSE)</f>
        <v>DE.CM-2</v>
      </c>
      <c r="Q177" s="198" t="str">
        <f>VLOOKUP($B177,'Standards Crosswalk'!$A1:$H321,7,FALSE)</f>
        <v>3.10.2</v>
      </c>
      <c r="R177" s="198" t="str">
        <f>VLOOKUP($B177,'Standards Crosswalk'!$A1:$H321,8,FALSE)</f>
        <v>PE-6</v>
      </c>
      <c r="S177" s="198" t="str">
        <f>VLOOKUP($B177,'Standards Crosswalk'!$A1:$I321,9,FALSE)</f>
        <v>9.x</v>
      </c>
      <c r="T177" s="181"/>
      <c r="U177" s="181"/>
      <c r="V177" s="181"/>
      <c r="W177" s="181"/>
      <c r="X177" s="181"/>
      <c r="Y177" s="181"/>
      <c r="Z177" s="6"/>
    </row>
    <row r="178" ht="43.5" customHeight="1">
      <c r="A178" s="334">
        <f t="shared" si="7"/>
        <v>176</v>
      </c>
      <c r="B178" s="335" t="s">
        <v>597</v>
      </c>
      <c r="C178" s="336" t="str">
        <f>VLOOKUP(B178,'HECVAT - Full'!A1:E312,2,FALSE)</f>
        <v>Are individuals required to sign in/out for installation and removal of equipment?</v>
      </c>
      <c r="D178" s="358" t="str">
        <f>VLOOKUP(B178,'HECVAT - Full'!A1:E312,4,FALSE)</f>
        <v/>
      </c>
      <c r="E178" s="337" t="b">
        <f t="shared" si="8"/>
        <v>0</v>
      </c>
      <c r="F178" s="357" t="s">
        <v>3127</v>
      </c>
      <c r="G178" s="335" t="s">
        <v>90</v>
      </c>
      <c r="H178" s="338">
        <v>1.0</v>
      </c>
      <c r="I178" s="349" t="str">
        <f>VLOOKUP(B178,'HECVAT - Full'!A1:E312,3,FALSE)</f>
        <v>No</v>
      </c>
      <c r="J178" s="181">
        <f t="shared" si="60"/>
        <v>0</v>
      </c>
      <c r="K178" s="181">
        <f>IF(H178=1,15,"")</f>
        <v>15</v>
      </c>
      <c r="L178" s="181">
        <f t="shared" si="6"/>
        <v>0</v>
      </c>
      <c r="M178" s="198" t="str">
        <f>VLOOKUP($B178,'Standards Crosswalk'!$A1:$H321,3,FALSE)</f>
        <v>CSC 14</v>
      </c>
      <c r="N178" s="198" t="str">
        <f>VLOOKUP($B178,'Standards Crosswalk'!$A1:$H321,4,FALSE)</f>
        <v/>
      </c>
      <c r="O178" s="198" t="str">
        <f>VLOOKUP($B178,'Standards Crosswalk'!$A1:$H321,5,FALSE)</f>
        <v>11.1.2</v>
      </c>
      <c r="P178" s="198" t="str">
        <f>VLOOKUP($B178,'Standards Crosswalk'!$A1:$H321,6,FALSE)</f>
        <v>PR.DS-3</v>
      </c>
      <c r="Q178" s="198" t="str">
        <f>VLOOKUP($B178,'Standards Crosswalk'!$A1:$H321,7,FALSE)</f>
        <v>3.7.3, 3.8.1, 3.8.5, 3.8.7, 3.10.3</v>
      </c>
      <c r="R178" s="198" t="str">
        <f>VLOOKUP($B178,'Standards Crosswalk'!$A1:$H321,8,FALSE)</f>
        <v>MP-2, MP-5, MP-7</v>
      </c>
      <c r="S178" s="198" t="str">
        <f>VLOOKUP($B178,'Standards Crosswalk'!$A1:$I321,9,FALSE)</f>
        <v>9.x</v>
      </c>
      <c r="T178" s="181"/>
      <c r="U178" s="181"/>
      <c r="V178" s="181"/>
      <c r="W178" s="181"/>
      <c r="X178" s="181"/>
      <c r="Y178" s="181"/>
      <c r="Z178" s="6"/>
    </row>
    <row r="179" ht="57.75" customHeight="1">
      <c r="A179" s="334">
        <f t="shared" si="7"/>
        <v>177</v>
      </c>
      <c r="B179" s="335" t="s">
        <v>599</v>
      </c>
      <c r="C179" s="336" t="str">
        <f>VLOOKUP(B179,'HECVAT - Full'!A1:E312,2,FALSE)</f>
        <v>Can you share the organization chart, mission statement, and policies for your information security unit?</v>
      </c>
      <c r="D179" s="334" t="str">
        <f>VLOOKUP(B179,'HECVAT - Full'!A1:E312,4,FALSE)</f>
        <v>This is documented here: https://ltiaas.com/compliance</v>
      </c>
      <c r="E179" s="337" t="b">
        <f t="shared" si="8"/>
        <v>0</v>
      </c>
      <c r="F179" s="357" t="s">
        <v>3128</v>
      </c>
      <c r="G179" s="335" t="s">
        <v>90</v>
      </c>
      <c r="H179" s="338">
        <v>1.0</v>
      </c>
      <c r="I179" s="349" t="str">
        <f>VLOOKUP(B179,'HECVAT - Full'!A1:E312,3,FALSE)</f>
        <v>Yes</v>
      </c>
      <c r="J179" s="181">
        <f t="shared" si="60"/>
        <v>1</v>
      </c>
      <c r="K179" s="181">
        <f>IF(H179=1,20,"")</f>
        <v>20</v>
      </c>
      <c r="L179" s="181">
        <f t="shared" si="6"/>
        <v>20</v>
      </c>
      <c r="M179" s="198" t="str">
        <f>VLOOKUP($B179,'Standards Crosswalk'!$A1:$H321,3,FALSE)</f>
        <v/>
      </c>
      <c r="N179" s="198" t="str">
        <f>VLOOKUP($B179,'Standards Crosswalk'!$A1:$H321,4,FALSE)</f>
        <v/>
      </c>
      <c r="O179" s="198" t="str">
        <f>VLOOKUP($B179,'Standards Crosswalk'!$A1:$H321,5,FALSE)</f>
        <v>5.1.1</v>
      </c>
      <c r="P179" s="198" t="str">
        <f>VLOOKUP($B179,'Standards Crosswalk'!$A1:$H321,6,FALSE)</f>
        <v>ID.GV-2</v>
      </c>
      <c r="Q179" s="198" t="str">
        <f>VLOOKUP($B179,'Standards Crosswalk'!$A1:$H321,7,FALSE)</f>
        <v>3.9.1, 3.9.2</v>
      </c>
      <c r="R179" s="198" t="str">
        <f>VLOOKUP($B179,'Standards Crosswalk'!$A1:$H321,8,FALSE)</f>
        <v>PM-2, PM-10, SI-5, CA-5, PM-1</v>
      </c>
      <c r="S179" s="198" t="str">
        <f>VLOOKUP($B179,'Standards Crosswalk'!$A1:$I321,9,FALSE)</f>
        <v>12.4, 12.5</v>
      </c>
      <c r="T179" s="181"/>
      <c r="U179" s="181"/>
      <c r="V179" s="181"/>
      <c r="W179" s="181"/>
      <c r="X179" s="181"/>
      <c r="Y179" s="181"/>
      <c r="Z179" s="6"/>
    </row>
    <row r="180" ht="57.75" customHeight="1">
      <c r="A180" s="334">
        <f t="shared" si="7"/>
        <v>178</v>
      </c>
      <c r="B180" s="335" t="s">
        <v>602</v>
      </c>
      <c r="C180" s="336" t="str">
        <f>VLOOKUP(B180,'HECVAT - Full'!A1:E312,2,FALSE)</f>
        <v>Do you have a documented patch management process?</v>
      </c>
      <c r="D180" s="334" t="str">
        <f>VLOOKUP(B180,'HECVAT - Full'!A1:E312,4,FALSE)</f>
        <v>This is documented here: https://ltiaas.com/compliance</v>
      </c>
      <c r="E180" s="337" t="b">
        <f t="shared" si="8"/>
        <v>1</v>
      </c>
      <c r="F180" s="357" t="s">
        <v>3128</v>
      </c>
      <c r="G180" s="335" t="s">
        <v>90</v>
      </c>
      <c r="H180" s="338">
        <v>1.0</v>
      </c>
      <c r="I180" s="349" t="str">
        <f>VLOOKUP(B180,'HECVAT - Full'!A1:E312,3,FALSE)</f>
        <v>Yes</v>
      </c>
      <c r="J180" s="181">
        <f t="shared" si="60"/>
        <v>1</v>
      </c>
      <c r="K180" s="181">
        <f>IF(H180=1,25,"")</f>
        <v>25</v>
      </c>
      <c r="L180" s="181">
        <f t="shared" si="6"/>
        <v>25</v>
      </c>
      <c r="M180" s="198" t="str">
        <f>VLOOKUP($B180,'Standards Crosswalk'!$A1:$H321,3,FALSE)</f>
        <v>CSC 4</v>
      </c>
      <c r="N180" s="198" t="str">
        <f>VLOOKUP($B180,'Standards Crosswalk'!$A1:$H321,4,FALSE)</f>
        <v/>
      </c>
      <c r="O180" s="198" t="str">
        <f>VLOOKUP($B180,'Standards Crosswalk'!$A1:$H321,5,FALSE)</f>
        <v>12.6.1</v>
      </c>
      <c r="P180" s="198" t="str">
        <f>VLOOKUP($B180,'Standards Crosswalk'!$A1:$H321,6,FALSE)</f>
        <v>PR.IP-12</v>
      </c>
      <c r="Q180" s="343" t="str">
        <f>VLOOKUP($B180,'Standards Crosswalk'!$A1:$H321,7,FALSE)</f>
        <v/>
      </c>
      <c r="R180" s="198" t="str">
        <f>VLOOKUP($B180,'Standards Crosswalk'!$A1:$H321,8,FALSE)</f>
        <v>CA-5, PM-1</v>
      </c>
      <c r="S180" s="198" t="str">
        <f>VLOOKUP($B180,'Standards Crosswalk'!$A1:$I321,9,FALSE)</f>
        <v>6.4.5</v>
      </c>
      <c r="T180" s="181"/>
      <c r="U180" s="181"/>
      <c r="V180" s="181"/>
      <c r="W180" s="181"/>
      <c r="X180" s="181"/>
      <c r="Y180" s="181"/>
      <c r="Z180" s="6"/>
    </row>
    <row r="181" ht="57.75" customHeight="1">
      <c r="A181" s="334">
        <f t="shared" si="7"/>
        <v>179</v>
      </c>
      <c r="B181" s="335" t="s">
        <v>605</v>
      </c>
      <c r="C181" s="336" t="str">
        <f>VLOOKUP(B181,'HECVAT - Full'!A1:E312,2,FALSE)</f>
        <v>Can you accommodate encryption requirements using open standards?</v>
      </c>
      <c r="D181" s="358" t="str">
        <f>VLOOKUP(B181,'HECVAT - Full'!A1:E312,4,FALSE)</f>
        <v/>
      </c>
      <c r="E181" s="337" t="b">
        <f t="shared" si="8"/>
        <v>0</v>
      </c>
      <c r="F181" s="357" t="s">
        <v>3128</v>
      </c>
      <c r="G181" s="335" t="s">
        <v>90</v>
      </c>
      <c r="H181" s="338">
        <v>1.0</v>
      </c>
      <c r="I181" s="349" t="str">
        <f>VLOOKUP(B181,'HECVAT - Full'!A1:E312,3,FALSE)</f>
        <v>Yes</v>
      </c>
      <c r="J181" s="181">
        <f t="shared" si="60"/>
        <v>1</v>
      </c>
      <c r="K181" s="181">
        <f>IF(H181=1,20,"")</f>
        <v>20</v>
      </c>
      <c r="L181" s="181">
        <f t="shared" si="6"/>
        <v>20</v>
      </c>
      <c r="M181" s="198" t="str">
        <f>VLOOKUP($B181,'Standards Crosswalk'!$A1:$H321,3,FALSE)</f>
        <v>CSC 13</v>
      </c>
      <c r="N181" s="198" t="str">
        <f>VLOOKUP($B181,'Standards Crosswalk'!$A1:$H321,4,FALSE)</f>
        <v/>
      </c>
      <c r="O181" s="198" t="str">
        <f>VLOOKUP($B181,'Standards Crosswalk'!$A1:$H321,5,FALSE)</f>
        <v>10.1.1, 18.1.5</v>
      </c>
      <c r="P181" s="198" t="str">
        <f>VLOOKUP($B181,'Standards Crosswalk'!$A1:$H321,6,FALSE)</f>
        <v/>
      </c>
      <c r="Q181" s="343" t="str">
        <f>VLOOKUP($B181,'Standards Crosswalk'!$A1:$H321,7,FALSE)</f>
        <v/>
      </c>
      <c r="R181" s="198" t="str">
        <f>VLOOKUP($B181,'Standards Crosswalk'!$A1:$H321,8,FALSE)</f>
        <v>CA-5, PM-1</v>
      </c>
      <c r="S181" s="198" t="str">
        <f>VLOOKUP($B181,'Standards Crosswalk'!$A1:$I321,9,FALSE)</f>
        <v/>
      </c>
      <c r="T181" s="181"/>
      <c r="U181" s="181"/>
      <c r="V181" s="181"/>
      <c r="W181" s="181"/>
      <c r="X181" s="181"/>
      <c r="Y181" s="181"/>
      <c r="Z181" s="6"/>
    </row>
    <row r="182" ht="57.75" customHeight="1">
      <c r="A182" s="334">
        <f t="shared" si="7"/>
        <v>180</v>
      </c>
      <c r="B182" s="335" t="s">
        <v>607</v>
      </c>
      <c r="C182" s="336" t="str">
        <f>VLOOKUP(B182,'HECVAT - Full'!A1:E312,2,FALSE)</f>
        <v>Have your developers been trained in secure coding techniques?</v>
      </c>
      <c r="D182" s="358" t="str">
        <f>VLOOKUP(B182,'HECVAT - Full'!A1:E312,4,FALSE)</f>
        <v/>
      </c>
      <c r="E182" s="337" t="b">
        <f t="shared" si="8"/>
        <v>1</v>
      </c>
      <c r="F182" s="357" t="s">
        <v>3128</v>
      </c>
      <c r="G182" s="335" t="s">
        <v>90</v>
      </c>
      <c r="H182" s="338">
        <v>1.0</v>
      </c>
      <c r="I182" s="349" t="str">
        <f>VLOOKUP(B182,'HECVAT - Full'!A1:E312,3,FALSE)</f>
        <v>Yes</v>
      </c>
      <c r="J182" s="181">
        <f t="shared" si="60"/>
        <v>1</v>
      </c>
      <c r="K182" s="181">
        <f>IF(H182=1,25,"")</f>
        <v>25</v>
      </c>
      <c r="L182" s="181">
        <f t="shared" si="6"/>
        <v>25</v>
      </c>
      <c r="M182" s="198" t="str">
        <f>VLOOKUP($B182,'Standards Crosswalk'!$A1:$H321,3,FALSE)</f>
        <v>CSC 4, CSC 17</v>
      </c>
      <c r="N182" s="198" t="str">
        <f>VLOOKUP($B182,'Standards Crosswalk'!$A1:$H321,4,FALSE)</f>
        <v/>
      </c>
      <c r="O182" s="198" t="str">
        <f>VLOOKUP($B182,'Standards Crosswalk'!$A1:$H321,5,FALSE)</f>
        <v>14.2.1</v>
      </c>
      <c r="P182" s="198" t="str">
        <f>VLOOKUP($B182,'Standards Crosswalk'!$A1:$H321,6,FALSE)</f>
        <v/>
      </c>
      <c r="Q182" s="343" t="str">
        <f>VLOOKUP($B182,'Standards Crosswalk'!$A1:$H321,7,FALSE)</f>
        <v/>
      </c>
      <c r="R182" s="198" t="str">
        <f>VLOOKUP($B182,'Standards Crosswalk'!$A1:$H321,8,FALSE)</f>
        <v>CA-5, PM-1</v>
      </c>
      <c r="S182" s="198" t="str">
        <f>VLOOKUP($B182,'Standards Crosswalk'!$A1:$I321,9,FALSE)</f>
        <v>12.6, 6.5</v>
      </c>
      <c r="T182" s="181"/>
      <c r="U182" s="181"/>
      <c r="V182" s="181"/>
      <c r="W182" s="181"/>
      <c r="X182" s="181"/>
      <c r="Y182" s="181"/>
      <c r="Z182" s="6"/>
    </row>
    <row r="183" ht="57.75" customHeight="1">
      <c r="A183" s="334">
        <f t="shared" si="7"/>
        <v>181</v>
      </c>
      <c r="B183" s="335" t="s">
        <v>609</v>
      </c>
      <c r="C183" s="336" t="str">
        <f>VLOOKUP(B183,'HECVAT - Full'!A1:E312,2,FALSE)</f>
        <v>Was your application developed using secure coding techniques?</v>
      </c>
      <c r="D183" s="358" t="str">
        <f>VLOOKUP(B183,'HECVAT - Full'!A1:E312,4,FALSE)</f>
        <v/>
      </c>
      <c r="E183" s="337" t="b">
        <f t="shared" si="8"/>
        <v>0</v>
      </c>
      <c r="F183" s="357" t="s">
        <v>3128</v>
      </c>
      <c r="G183" s="335" t="s">
        <v>90</v>
      </c>
      <c r="H183" s="338">
        <v>1.0</v>
      </c>
      <c r="I183" s="349" t="str">
        <f>VLOOKUP(B183,'HECVAT - Full'!A1:E312,3,FALSE)</f>
        <v>Yes</v>
      </c>
      <c r="J183" s="181">
        <f t="shared" si="60"/>
        <v>1</v>
      </c>
      <c r="K183" s="181">
        <f>IF(H183=1,20,"")</f>
        <v>20</v>
      </c>
      <c r="L183" s="181">
        <f t="shared" si="6"/>
        <v>20</v>
      </c>
      <c r="M183" s="198" t="str">
        <f>VLOOKUP($B183,'Standards Crosswalk'!$A1:$H321,3,FALSE)</f>
        <v>CSC 4</v>
      </c>
      <c r="N183" s="198" t="str">
        <f>VLOOKUP($B183,'Standards Crosswalk'!$A1:$H321,4,FALSE)</f>
        <v/>
      </c>
      <c r="O183" s="198" t="str">
        <f>VLOOKUP($B183,'Standards Crosswalk'!$A1:$H321,5,FALSE)</f>
        <v>14.2.1</v>
      </c>
      <c r="P183" s="198" t="str">
        <f>VLOOKUP($B183,'Standards Crosswalk'!$A1:$H321,6,FALSE)</f>
        <v/>
      </c>
      <c r="Q183" s="343" t="str">
        <f>VLOOKUP($B183,'Standards Crosswalk'!$A1:$H321,7,FALSE)</f>
        <v/>
      </c>
      <c r="R183" s="198" t="str">
        <f>VLOOKUP($B183,'Standards Crosswalk'!$A1:$H321,8,FALSE)</f>
        <v>CA-5, PM-1</v>
      </c>
      <c r="S183" s="343">
        <f>VLOOKUP($B183,'Standards Crosswalk'!$A1:$I321,9,FALSE)</f>
        <v>6.3</v>
      </c>
      <c r="T183" s="181"/>
      <c r="U183" s="181"/>
      <c r="V183" s="181"/>
      <c r="W183" s="181"/>
      <c r="X183" s="181"/>
      <c r="Y183" s="181"/>
      <c r="Z183" s="6"/>
    </row>
    <row r="184" ht="57.75" customHeight="1">
      <c r="A184" s="334">
        <f t="shared" si="7"/>
        <v>182</v>
      </c>
      <c r="B184" s="335" t="s">
        <v>611</v>
      </c>
      <c r="C184" s="336" t="str">
        <f>VLOOKUP(B184,'HECVAT - Full'!A1:E312,2,FALSE)</f>
        <v>Do you subject your code to static code analysis and/or static application security testing prior to release?</v>
      </c>
      <c r="D184" s="358" t="str">
        <f>VLOOKUP(B184,'HECVAT - Full'!A1:E312,4,FALSE)</f>
        <v>ESLint, Perttier, npm-audit, dependabot</v>
      </c>
      <c r="E184" s="337" t="b">
        <f t="shared" si="8"/>
        <v>1</v>
      </c>
      <c r="F184" s="357" t="s">
        <v>3128</v>
      </c>
      <c r="G184" s="335" t="s">
        <v>90</v>
      </c>
      <c r="H184" s="338">
        <v>1.0</v>
      </c>
      <c r="I184" s="349" t="str">
        <f>VLOOKUP(B184,'HECVAT - Full'!A1:E312,3,FALSE)</f>
        <v>Yes</v>
      </c>
      <c r="J184" s="181">
        <f t="shared" si="60"/>
        <v>1</v>
      </c>
      <c r="K184" s="181">
        <f>IF(H184=1,25,"")</f>
        <v>25</v>
      </c>
      <c r="L184" s="181">
        <f t="shared" si="6"/>
        <v>25</v>
      </c>
      <c r="M184" s="198" t="str">
        <f>VLOOKUP($B184,'Standards Crosswalk'!$A1:$H321,3,FALSE)</f>
        <v>CSC 4</v>
      </c>
      <c r="N184" s="198" t="str">
        <f>VLOOKUP($B184,'Standards Crosswalk'!$A1:$H321,4,FALSE)</f>
        <v/>
      </c>
      <c r="O184" s="198" t="str">
        <f>VLOOKUP($B184,'Standards Crosswalk'!$A1:$H321,5,FALSE)</f>
        <v>14.2.1, 14.2.5, 14.2.8</v>
      </c>
      <c r="P184" s="198" t="str">
        <f>VLOOKUP($B184,'Standards Crosswalk'!$A1:$H321,6,FALSE)</f>
        <v>DE.CM-8, RS.MI-3</v>
      </c>
      <c r="Q184" s="343" t="str">
        <f>VLOOKUP($B184,'Standards Crosswalk'!$A1:$H321,7,FALSE)</f>
        <v/>
      </c>
      <c r="R184" s="198" t="str">
        <f>VLOOKUP($B184,'Standards Crosswalk'!$A1:$H321,8,FALSE)</f>
        <v>CA-5, PM-1</v>
      </c>
      <c r="S184" s="198" t="str">
        <f>VLOOKUP($B184,'Standards Crosswalk'!$A1:$I321,9,FALSE)</f>
        <v>6.3.2</v>
      </c>
      <c r="T184" s="181"/>
      <c r="U184" s="181"/>
      <c r="V184" s="181"/>
      <c r="W184" s="181"/>
      <c r="X184" s="181"/>
      <c r="Y184" s="181"/>
      <c r="Z184" s="6"/>
    </row>
    <row r="185" ht="57.75" customHeight="1">
      <c r="A185" s="334">
        <f t="shared" si="7"/>
        <v>183</v>
      </c>
      <c r="B185" s="335" t="s">
        <v>614</v>
      </c>
      <c r="C185" s="336" t="str">
        <f>VLOOKUP(B185,'HECVAT - Full'!A1:E312,2,FALSE)</f>
        <v>Do you have software testing processes (dynamic or static) that are established and followed?</v>
      </c>
      <c r="D185" s="358" t="str">
        <f>VLOOKUP(B185,'HECVAT - Full'!A1:E312,4,FALSE)</f>
        <v>Testing is done in CI with coverage reports</v>
      </c>
      <c r="E185" s="337" t="b">
        <f t="shared" si="8"/>
        <v>0</v>
      </c>
      <c r="F185" s="357" t="s">
        <v>3128</v>
      </c>
      <c r="G185" s="335" t="s">
        <v>90</v>
      </c>
      <c r="H185" s="338">
        <v>1.0</v>
      </c>
      <c r="I185" s="349" t="str">
        <f>VLOOKUP(B185,'HECVAT - Full'!A1:E312,3,FALSE)</f>
        <v>Yes</v>
      </c>
      <c r="J185" s="181">
        <f t="shared" si="60"/>
        <v>1</v>
      </c>
      <c r="K185" s="181">
        <f t="shared" ref="K185:K187" si="62">IF(H185=1,20,"")</f>
        <v>20</v>
      </c>
      <c r="L185" s="181">
        <f t="shared" si="6"/>
        <v>20</v>
      </c>
      <c r="M185" s="343"/>
      <c r="N185" s="343"/>
      <c r="O185" s="343"/>
      <c r="P185" s="343"/>
      <c r="Q185" s="343"/>
      <c r="R185" s="343"/>
      <c r="S185" s="198" t="str">
        <f>VLOOKUP($B185,'Standards Crosswalk'!$A1:$I321,9,FALSE)</f>
        <v>6.3.2, 6.4.5.3</v>
      </c>
      <c r="T185" s="181"/>
      <c r="U185" s="181"/>
      <c r="V185" s="181"/>
      <c r="W185" s="181"/>
      <c r="X185" s="181"/>
      <c r="Y185" s="181"/>
      <c r="Z185" s="6"/>
    </row>
    <row r="186" ht="57.75" customHeight="1">
      <c r="A186" s="334">
        <f t="shared" si="7"/>
        <v>184</v>
      </c>
      <c r="B186" s="335" t="s">
        <v>617</v>
      </c>
      <c r="C186" s="336" t="str">
        <f>VLOOKUP(B186,'HECVAT - Full'!A1:E312,2,FALSE)</f>
        <v>Are information security principles designed into the product lifecycle?</v>
      </c>
      <c r="D186" s="358" t="str">
        <f>VLOOKUP(B186,'HECVAT - Full'!A1:E312,4,FALSE)</f>
        <v>Every customer has an internal and external key that needs to be presented to access data in all application segments</v>
      </c>
      <c r="E186" s="337" t="b">
        <f t="shared" si="8"/>
        <v>0</v>
      </c>
      <c r="F186" s="357" t="s">
        <v>3128</v>
      </c>
      <c r="G186" s="335" t="s">
        <v>90</v>
      </c>
      <c r="H186" s="338">
        <v>1.0</v>
      </c>
      <c r="I186" s="349" t="str">
        <f>VLOOKUP(B186,'HECVAT - Full'!A1:E312,3,FALSE)</f>
        <v>Yes</v>
      </c>
      <c r="J186" s="181">
        <f t="shared" si="60"/>
        <v>1</v>
      </c>
      <c r="K186" s="181">
        <f t="shared" si="62"/>
        <v>20</v>
      </c>
      <c r="L186" s="181">
        <f t="shared" si="6"/>
        <v>20</v>
      </c>
      <c r="M186" s="198" t="str">
        <f>VLOOKUP($B186,'Standards Crosswalk'!$A1:$H321,3,FALSE)</f>
        <v>CSC 4</v>
      </c>
      <c r="N186" s="198" t="str">
        <f>VLOOKUP($B186,'Standards Crosswalk'!$A1:$H321,4,FALSE)</f>
        <v/>
      </c>
      <c r="O186" s="198" t="str">
        <f>VLOOKUP($B186,'Standards Crosswalk'!$A1:$H321,5,FALSE)</f>
        <v>14.2.1</v>
      </c>
      <c r="P186" s="198" t="str">
        <f>VLOOKUP($B186,'Standards Crosswalk'!$A1:$H321,6,FALSE)</f>
        <v/>
      </c>
      <c r="Q186" s="198" t="str">
        <f>VLOOKUP($B186,'Standards Crosswalk'!$A1:$H321,7,FALSE)</f>
        <v>3.13.2</v>
      </c>
      <c r="R186" s="198" t="str">
        <f>VLOOKUP($B186,'Standards Crosswalk'!$A1:$H321,8,FALSE)</f>
        <v>CA-5, PM-1</v>
      </c>
      <c r="S186" s="198" t="str">
        <f>VLOOKUP($B186,'Standards Crosswalk'!$A1:$I321,9,FALSE)</f>
        <v>6.3, 6.3.1</v>
      </c>
      <c r="T186" s="181"/>
      <c r="U186" s="181"/>
      <c r="V186" s="181"/>
      <c r="W186" s="181"/>
      <c r="X186" s="181"/>
      <c r="Y186" s="181"/>
      <c r="Z186" s="6"/>
    </row>
    <row r="187" ht="57.75" customHeight="1">
      <c r="A187" s="334">
        <f t="shared" si="7"/>
        <v>185</v>
      </c>
      <c r="B187" s="335" t="s">
        <v>620</v>
      </c>
      <c r="C187" s="336" t="str">
        <f>VLOOKUP(B187,'HECVAT - Full'!A1:E312,2,FALSE)</f>
        <v>Do you have a documented systems development life cycle (SDLC)?</v>
      </c>
      <c r="D187" s="358" t="str">
        <f>VLOOKUP(B187,'HECVAT - Full'!A1:E312,4,FALSE)</f>
        <v>We follow the standard 7-phase life cycle. It can be found here: https://ltiaas.com/compliance</v>
      </c>
      <c r="E187" s="337" t="b">
        <f t="shared" si="8"/>
        <v>0</v>
      </c>
      <c r="F187" s="357" t="s">
        <v>3128</v>
      </c>
      <c r="G187" s="335" t="s">
        <v>90</v>
      </c>
      <c r="H187" s="338">
        <v>1.0</v>
      </c>
      <c r="I187" s="349" t="str">
        <f>VLOOKUP(B187,'HECVAT - Full'!A1:E312,3,FALSE)</f>
        <v>Yes</v>
      </c>
      <c r="J187" s="181">
        <f t="shared" si="60"/>
        <v>1</v>
      </c>
      <c r="K187" s="181">
        <f t="shared" si="62"/>
        <v>20</v>
      </c>
      <c r="L187" s="181">
        <f t="shared" si="6"/>
        <v>20</v>
      </c>
      <c r="M187" s="198" t="str">
        <f>VLOOKUP($B187,'Standards Crosswalk'!$A1:$H321,3,FALSE)</f>
        <v>CSC 4</v>
      </c>
      <c r="N187" s="198" t="str">
        <f>VLOOKUP($B187,'Standards Crosswalk'!$A1:$H321,4,FALSE)</f>
        <v/>
      </c>
      <c r="O187" s="198" t="str">
        <f>VLOOKUP($B187,'Standards Crosswalk'!$A1:$H321,5,FALSE)</f>
        <v>14.2.1</v>
      </c>
      <c r="P187" s="198" t="str">
        <f>VLOOKUP($B187,'Standards Crosswalk'!$A1:$H321,6,FALSE)</f>
        <v>PR.IP-2</v>
      </c>
      <c r="Q187" s="343" t="str">
        <f>VLOOKUP($B187,'Standards Crosswalk'!$A1:$H321,7,FALSE)</f>
        <v/>
      </c>
      <c r="R187" s="198" t="str">
        <f>VLOOKUP($B187,'Standards Crosswalk'!$A1:$H321,8,FALSE)</f>
        <v>CM-3, SA-15, SA-3, SA-8, SC-2, CA-5, PM-1</v>
      </c>
      <c r="S187" s="198" t="str">
        <f>VLOOKUP($B187,'Standards Crosswalk'!$A1:$I321,9,FALSE)</f>
        <v>6.3.2</v>
      </c>
      <c r="T187" s="181"/>
      <c r="U187" s="181"/>
      <c r="V187" s="181"/>
      <c r="W187" s="181"/>
      <c r="X187" s="181"/>
      <c r="Y187" s="181"/>
      <c r="Z187" s="6"/>
    </row>
    <row r="188" ht="57.75" customHeight="1">
      <c r="A188" s="334">
        <f t="shared" si="7"/>
        <v>186</v>
      </c>
      <c r="B188" s="335" t="s">
        <v>623</v>
      </c>
      <c r="C188" s="336" t="str">
        <f>VLOOKUP(B188,'HECVAT - Full'!A1:E312,2,FALSE)</f>
        <v>Do you have a formal incident response plan?</v>
      </c>
      <c r="D188" s="334" t="str">
        <f>VLOOKUP(B188,'HECVAT - Full'!A1:E312,4,FALSE)</f>
        <v>The plan consists of 4 sections: GOVERNANCE, TRIAGE AND SCOPING, EXECUTION, and REMEDIATION AND POST-INCIDENT REVIEW. The plan puts forth roles and responsibilities to work through these sections for every incident.</v>
      </c>
      <c r="E188" s="337" t="b">
        <f t="shared" si="8"/>
        <v>1</v>
      </c>
      <c r="F188" s="357" t="s">
        <v>3128</v>
      </c>
      <c r="G188" s="335" t="s">
        <v>90</v>
      </c>
      <c r="H188" s="338">
        <v>1.0</v>
      </c>
      <c r="I188" s="349" t="str">
        <f>VLOOKUP(B188,'HECVAT - Full'!A1:E312,3,FALSE)</f>
        <v>Yes</v>
      </c>
      <c r="J188" s="181">
        <f t="shared" si="60"/>
        <v>1</v>
      </c>
      <c r="K188" s="181">
        <f t="shared" ref="K188:K189" si="63">IF(H188=1,25,"")</f>
        <v>25</v>
      </c>
      <c r="L188" s="181">
        <f t="shared" si="6"/>
        <v>25</v>
      </c>
      <c r="M188" s="198" t="str">
        <f>VLOOKUP($B188,'Standards Crosswalk'!$A1:$H321,3,FALSE)</f>
        <v>CSC 19</v>
      </c>
      <c r="N188" s="198" t="str">
        <f>VLOOKUP($B188,'Standards Crosswalk'!$A1:$H321,4,FALSE)</f>
        <v/>
      </c>
      <c r="O188" s="198" t="str">
        <f>VLOOKUP($B188,'Standards Crosswalk'!$A1:$H321,5,FALSE)</f>
        <v>16.1.5</v>
      </c>
      <c r="P188" s="198" t="str">
        <f>VLOOKUP($B188,'Standards Crosswalk'!$A1:$H321,6,FALSE)</f>
        <v>PR.IP-9</v>
      </c>
      <c r="Q188" s="198" t="str">
        <f>VLOOKUP($B188,'Standards Crosswalk'!$A1:$H321,7,FALSE)</f>
        <v>3.6.1, 3.12.2</v>
      </c>
      <c r="R188" s="198" t="str">
        <f>VLOOKUP($B188,'Standards Crosswalk'!$A1:$H321,8,FALSE)</f>
        <v>CA-5, PM-1, IR-4, IR-5, IR-7, IR-8</v>
      </c>
      <c r="S188" s="198" t="str">
        <f>VLOOKUP($B188,'Standards Crosswalk'!$A1:$I321,9,FALSE)</f>
        <v>12.10, 12.8, 12.9</v>
      </c>
      <c r="T188" s="181"/>
      <c r="U188" s="181"/>
      <c r="V188" s="181"/>
      <c r="W188" s="181"/>
      <c r="X188" s="181"/>
      <c r="Y188" s="181"/>
      <c r="Z188" s="6"/>
    </row>
    <row r="189" ht="57.75" customHeight="1">
      <c r="A189" s="334">
        <f t="shared" si="7"/>
        <v>187</v>
      </c>
      <c r="B189" s="335" t="s">
        <v>626</v>
      </c>
      <c r="C189" s="336" t="str">
        <f>VLOOKUP(B189,'HECVAT - Full'!A1:E312,2,FALSE)</f>
        <v>Will you comply with applicable breach notification laws?</v>
      </c>
      <c r="D189" s="358" t="str">
        <f>VLOOKUP(B189,'HECVAT - Full'!A1:E312,4,FALSE)</f>
        <v/>
      </c>
      <c r="E189" s="337" t="b">
        <f t="shared" si="8"/>
        <v>1</v>
      </c>
      <c r="F189" s="357" t="s">
        <v>3128</v>
      </c>
      <c r="G189" s="335" t="s">
        <v>90</v>
      </c>
      <c r="H189" s="338">
        <v>1.0</v>
      </c>
      <c r="I189" s="349" t="str">
        <f>VLOOKUP(B189,'HECVAT - Full'!A1:E312,3,FALSE)</f>
        <v>Yes</v>
      </c>
      <c r="J189" s="181">
        <f t="shared" si="60"/>
        <v>1</v>
      </c>
      <c r="K189" s="181">
        <f t="shared" si="63"/>
        <v>25</v>
      </c>
      <c r="L189" s="181">
        <f t="shared" si="6"/>
        <v>25</v>
      </c>
      <c r="M189" s="198" t="str">
        <f>VLOOKUP($B189,'Standards Crosswalk'!$A1:$H321,3,FALSE)</f>
        <v>CSC 19</v>
      </c>
      <c r="N189" s="198" t="str">
        <f>VLOOKUP($B189,'Standards Crosswalk'!$A1:$H321,4,FALSE)</f>
        <v/>
      </c>
      <c r="O189" s="198" t="str">
        <f>VLOOKUP($B189,'Standards Crosswalk'!$A1:$H321,5,FALSE)</f>
        <v>18.1.1</v>
      </c>
      <c r="P189" s="198" t="str">
        <f>VLOOKUP($B189,'Standards Crosswalk'!$A1:$H321,6,FALSE)</f>
        <v>ID.GV-3</v>
      </c>
      <c r="Q189" s="198" t="str">
        <f>VLOOKUP($B189,'Standards Crosswalk'!$A1:$H321,7,FALSE)</f>
        <v>3.6.2,</v>
      </c>
      <c r="R189" s="198" t="str">
        <f>VLOOKUP($B189,'Standards Crosswalk'!$A1:$H321,8,FALSE)</f>
        <v>CA-5, PM-1, IR-4, IR-5, IR-6, IR-7, IR-8</v>
      </c>
      <c r="S189" s="343">
        <f>VLOOKUP($B189,'Standards Crosswalk'!$A1:$I321,9,FALSE)</f>
        <v>12.8</v>
      </c>
      <c r="T189" s="181"/>
      <c r="U189" s="181"/>
      <c r="V189" s="181"/>
      <c r="W189" s="181"/>
      <c r="X189" s="181"/>
      <c r="Y189" s="181"/>
      <c r="Z189" s="6"/>
    </row>
    <row r="190" ht="57.75" customHeight="1">
      <c r="A190" s="334">
        <f t="shared" si="7"/>
        <v>188</v>
      </c>
      <c r="B190" s="335" t="s">
        <v>628</v>
      </c>
      <c r="C190" s="336" t="str">
        <f>VLOOKUP(B190,'HECVAT - Full'!A1:E312,2,FALSE)</f>
        <v>Will you comply with the Institution's IT policies with regards to user privacy and data protection?</v>
      </c>
      <c r="D190" s="358" t="str">
        <f>VLOOKUP(B190,'HECVAT - Full'!A1:E312,4,FALSE)</f>
        <v/>
      </c>
      <c r="E190" s="337" t="b">
        <f t="shared" si="8"/>
        <v>0</v>
      </c>
      <c r="F190" s="357" t="s">
        <v>3128</v>
      </c>
      <c r="G190" s="335" t="s">
        <v>90</v>
      </c>
      <c r="H190" s="338">
        <v>1.0</v>
      </c>
      <c r="I190" s="349" t="str">
        <f>VLOOKUP(B190,'HECVAT - Full'!A1:E312,3,FALSE)</f>
        <v>Yes</v>
      </c>
      <c r="J190" s="181">
        <f t="shared" si="60"/>
        <v>1</v>
      </c>
      <c r="K190" s="181">
        <f>IF(H190=1,15,"")</f>
        <v>15</v>
      </c>
      <c r="L190" s="181">
        <f t="shared" si="6"/>
        <v>15</v>
      </c>
      <c r="M190" s="198" t="str">
        <f>VLOOKUP($B190,'Standards Crosswalk'!$A1:$H321,3,FALSE)</f>
        <v>CSC 13</v>
      </c>
      <c r="N190" s="198" t="str">
        <f>VLOOKUP($B190,'Standards Crosswalk'!$A1:$H321,4,FALSE)</f>
        <v/>
      </c>
      <c r="O190" s="198" t="str">
        <f>VLOOKUP($B190,'Standards Crosswalk'!$A1:$H321,5,FALSE)</f>
        <v>18.1.1</v>
      </c>
      <c r="P190" s="198" t="str">
        <f>VLOOKUP($B190,'Standards Crosswalk'!$A1:$H321,6,FALSE)</f>
        <v/>
      </c>
      <c r="Q190" s="198" t="str">
        <f>VLOOKUP($B190,'Standards Crosswalk'!$A1:$H321,7,FALSE)</f>
        <v>3.6.2</v>
      </c>
      <c r="R190" s="198" t="str">
        <f>VLOOKUP($B190,'Standards Crosswalk'!$A1:$H321,8,FALSE)</f>
        <v>CA-2, SA-15, CA-5, PM-1, IR-4, IR-5, IR-6, R-7, IR-8</v>
      </c>
      <c r="S190" s="343">
        <f>VLOOKUP($B190,'Standards Crosswalk'!$A1:$I321,9,FALSE)</f>
        <v>12.8</v>
      </c>
      <c r="T190" s="181"/>
      <c r="U190" s="181"/>
      <c r="V190" s="181"/>
      <c r="W190" s="181"/>
      <c r="X190" s="181"/>
      <c r="Y190" s="181"/>
      <c r="Z190" s="6"/>
    </row>
    <row r="191" ht="57.75" customHeight="1">
      <c r="A191" s="334">
        <f t="shared" si="7"/>
        <v>189</v>
      </c>
      <c r="B191" s="335" t="s">
        <v>630</v>
      </c>
      <c r="C191" s="336" t="str">
        <f>VLOOKUP(B191,'HECVAT - Full'!A1:E312,2,FALSE)</f>
        <v>Is your company subject to Institution's Data Zone laws and regulations?</v>
      </c>
      <c r="D191" s="358" t="str">
        <f>VLOOKUP(B191,'HECVAT - Full'!A1:E312,4,FALSE)</f>
        <v/>
      </c>
      <c r="E191" s="337" t="b">
        <f t="shared" si="8"/>
        <v>0</v>
      </c>
      <c r="F191" s="357" t="s">
        <v>3128</v>
      </c>
      <c r="G191" s="335" t="s">
        <v>90</v>
      </c>
      <c r="H191" s="338">
        <v>1.0</v>
      </c>
      <c r="I191" s="349" t="str">
        <f>VLOOKUP(B191,'HECVAT - Full'!A1:E312,3,FALSE)</f>
        <v>Yes</v>
      </c>
      <c r="J191" s="181">
        <f t="shared" si="60"/>
        <v>1</v>
      </c>
      <c r="K191" s="181">
        <f>IF(H191=1,20,"")</f>
        <v>20</v>
      </c>
      <c r="L191" s="181">
        <f t="shared" si="6"/>
        <v>20</v>
      </c>
      <c r="M191" s="198" t="str">
        <f>VLOOKUP($B191,'Standards Crosswalk'!$A1:$H321,3,FALSE)</f>
        <v>CSC 19</v>
      </c>
      <c r="N191" s="198" t="str">
        <f>VLOOKUP($B191,'Standards Crosswalk'!$A1:$H321,4,FALSE)</f>
        <v/>
      </c>
      <c r="O191" s="198" t="str">
        <f>VLOOKUP($B191,'Standards Crosswalk'!$A1:$H321,5,FALSE)</f>
        <v>18.1.1</v>
      </c>
      <c r="P191" s="198" t="str">
        <f>VLOOKUP($B191,'Standards Crosswalk'!$A1:$H321,6,FALSE)</f>
        <v>ID.GV-3</v>
      </c>
      <c r="Q191" s="343" t="str">
        <f>VLOOKUP($B191,'Standards Crosswalk'!$A1:$H321,7,FALSE)</f>
        <v/>
      </c>
      <c r="R191" s="198" t="str">
        <f>VLOOKUP($B191,'Standards Crosswalk'!$A1:$H321,8,FALSE)</f>
        <v>CA-5, PM-1</v>
      </c>
      <c r="S191" s="198" t="str">
        <f>VLOOKUP($B191,'Standards Crosswalk'!$A1:$I321,9,FALSE)</f>
        <v/>
      </c>
      <c r="T191" s="181"/>
      <c r="U191" s="181"/>
      <c r="V191" s="181"/>
      <c r="W191" s="181"/>
      <c r="X191" s="181"/>
      <c r="Y191" s="181"/>
      <c r="Z191" s="6"/>
    </row>
    <row r="192" ht="72.0" customHeight="1">
      <c r="A192" s="334">
        <f t="shared" si="7"/>
        <v>190</v>
      </c>
      <c r="B192" s="335" t="s">
        <v>632</v>
      </c>
      <c r="C192" s="336" t="str">
        <f>VLOOKUP(B192,'HECVAT - Full'!A1:E312,2,FALSE)</f>
        <v>Do you perform background screenings or multi-state background checks on all employees prior to their first day of work?</v>
      </c>
      <c r="D192" s="358" t="str">
        <f>VLOOKUP(B192,'HECVAT - Full'!A1:E312,4,FALSE)</f>
        <v/>
      </c>
      <c r="E192" s="337" t="b">
        <f t="shared" si="8"/>
        <v>0</v>
      </c>
      <c r="F192" s="357" t="s">
        <v>3128</v>
      </c>
      <c r="G192" s="335" t="s">
        <v>90</v>
      </c>
      <c r="H192" s="338">
        <v>1.0</v>
      </c>
      <c r="I192" s="349" t="str">
        <f>VLOOKUP(B192,'HECVAT - Full'!A1:E312,3,FALSE)</f>
        <v>Yes</v>
      </c>
      <c r="J192" s="181">
        <f t="shared" si="60"/>
        <v>1</v>
      </c>
      <c r="K192" s="181">
        <f t="shared" ref="K192:K193" si="64">IF(H192=1,15,"")</f>
        <v>15</v>
      </c>
      <c r="L192" s="181">
        <f t="shared" si="6"/>
        <v>15</v>
      </c>
      <c r="M192" s="198" t="str">
        <f>VLOOKUP($B192,'Standards Crosswalk'!$A1:$H321,3,FALSE)</f>
        <v>CSC 5</v>
      </c>
      <c r="N192" s="198" t="str">
        <f>VLOOKUP($B192,'Standards Crosswalk'!$A1:$H321,4,FALSE)</f>
        <v/>
      </c>
      <c r="O192" s="198" t="str">
        <f>VLOOKUP($B192,'Standards Crosswalk'!$A1:$H321,5,FALSE)</f>
        <v>7.1.1</v>
      </c>
      <c r="P192" s="198" t="str">
        <f>VLOOKUP($B192,'Standards Crosswalk'!$A1:$H321,6,FALSE)</f>
        <v>PR.IP-11</v>
      </c>
      <c r="Q192" s="198" t="str">
        <f>VLOOKUP($B192,'Standards Crosswalk'!$A1:$H321,7,FALSE)</f>
        <v>3.9.1</v>
      </c>
      <c r="R192" s="198" t="str">
        <f>VLOOKUP($B192,'Standards Crosswalk'!$A1:$H321,8,FALSE)</f>
        <v>CA-5, PM-1, PS-3</v>
      </c>
      <c r="S192" s="343">
        <f>VLOOKUP($B192,'Standards Crosswalk'!$A1:$I321,9,FALSE)</f>
        <v>12.7</v>
      </c>
      <c r="T192" s="181"/>
      <c r="U192" s="181"/>
      <c r="V192" s="181"/>
      <c r="W192" s="181"/>
      <c r="X192" s="181"/>
      <c r="Y192" s="181"/>
      <c r="Z192" s="6"/>
    </row>
    <row r="193" ht="57.75" customHeight="1">
      <c r="A193" s="334">
        <f t="shared" si="7"/>
        <v>191</v>
      </c>
      <c r="B193" s="335" t="s">
        <v>634</v>
      </c>
      <c r="C193" s="336" t="str">
        <f>VLOOKUP(B193,'HECVAT - Full'!A1:E312,2,FALSE)</f>
        <v>Do you require new employees to fill out agreements and review policies?  </v>
      </c>
      <c r="D193" s="358" t="str">
        <f>VLOOKUP(B193,'HECVAT - Full'!A1:E312,4,FALSE)</f>
        <v/>
      </c>
      <c r="E193" s="337" t="b">
        <f t="shared" si="8"/>
        <v>0</v>
      </c>
      <c r="F193" s="357" t="s">
        <v>3128</v>
      </c>
      <c r="G193" s="335" t="s">
        <v>90</v>
      </c>
      <c r="H193" s="338">
        <v>1.0</v>
      </c>
      <c r="I193" s="349" t="str">
        <f>VLOOKUP(B193,'HECVAT - Full'!A1:E312,3,FALSE)</f>
        <v>Yes</v>
      </c>
      <c r="J193" s="181">
        <f t="shared" si="60"/>
        <v>1</v>
      </c>
      <c r="K193" s="181">
        <f t="shared" si="64"/>
        <v>15</v>
      </c>
      <c r="L193" s="181">
        <f t="shared" si="6"/>
        <v>15</v>
      </c>
      <c r="M193" s="198" t="str">
        <f>VLOOKUP($B193,'Standards Crosswalk'!$A1:$H321,3,FALSE)</f>
        <v>CSC 17</v>
      </c>
      <c r="N193" s="198" t="str">
        <f>VLOOKUP($B193,'Standards Crosswalk'!$A1:$H321,4,FALSE)</f>
        <v/>
      </c>
      <c r="O193" s="198" t="str">
        <f>VLOOKUP($B193,'Standards Crosswalk'!$A1:$H321,5,FALSE)</f>
        <v>7.1.2</v>
      </c>
      <c r="P193" s="198" t="str">
        <f>VLOOKUP($B193,'Standards Crosswalk'!$A1:$H321,6,FALSE)</f>
        <v>PR.IP-11</v>
      </c>
      <c r="Q193" s="343" t="str">
        <f>VLOOKUP($B193,'Standards Crosswalk'!$A1:$H321,7,FALSE)</f>
        <v/>
      </c>
      <c r="R193" s="198" t="str">
        <f>VLOOKUP($B193,'Standards Crosswalk'!$A1:$H321,8,FALSE)</f>
        <v>CA-5, PM-1</v>
      </c>
      <c r="S193" s="198" t="str">
        <f>VLOOKUP($B193,'Standards Crosswalk'!$A1:$I321,9,FALSE)</f>
        <v>12.6, 7.x, 8.x, 9.x</v>
      </c>
      <c r="T193" s="181"/>
      <c r="U193" s="181"/>
      <c r="V193" s="181"/>
      <c r="W193" s="181"/>
      <c r="X193" s="181"/>
      <c r="Y193" s="181"/>
      <c r="Z193" s="6"/>
    </row>
    <row r="194" ht="57.75" customHeight="1">
      <c r="A194" s="334">
        <f t="shared" si="7"/>
        <v>192</v>
      </c>
      <c r="B194" s="335" t="s">
        <v>636</v>
      </c>
      <c r="C194" s="336" t="str">
        <f>VLOOKUP(B194,'HECVAT - Full'!A1:E312,2,FALSE)</f>
        <v>Do you have documented information security policy?</v>
      </c>
      <c r="D194" s="334" t="str">
        <f>VLOOKUP(B194,'HECVAT - Full'!A1:E312,4,FALSE)</f>
        <v>This is documented here: https://ltiaas.com/compliance/Comprehensive_IT_Security_Policy.pdf</v>
      </c>
      <c r="E194" s="337" t="b">
        <f t="shared" si="8"/>
        <v>1</v>
      </c>
      <c r="F194" s="357" t="s">
        <v>3128</v>
      </c>
      <c r="G194" s="335" t="s">
        <v>90</v>
      </c>
      <c r="H194" s="338">
        <v>1.0</v>
      </c>
      <c r="I194" s="349" t="str">
        <f>VLOOKUP(B194,'HECVAT - Full'!A1:E312,3,FALSE)</f>
        <v>Yes</v>
      </c>
      <c r="J194" s="181">
        <f t="shared" si="60"/>
        <v>1</v>
      </c>
      <c r="K194" s="181">
        <f t="shared" ref="K194:K195" si="65">IF(H194=1,25,"")</f>
        <v>25</v>
      </c>
      <c r="L194" s="181">
        <f t="shared" si="6"/>
        <v>25</v>
      </c>
      <c r="M194" s="198" t="str">
        <f>VLOOKUP($B194,'Standards Crosswalk'!$A1:$H321,3,FALSE)</f>
        <v>CSC 17</v>
      </c>
      <c r="N194" s="198" t="str">
        <f>VLOOKUP($B194,'Standards Crosswalk'!$A1:$H321,4,FALSE)</f>
        <v>§164.308(a)(1)(i)</v>
      </c>
      <c r="O194" s="198" t="str">
        <f>VLOOKUP($B194,'Standards Crosswalk'!$A1:$H321,5,FALSE)</f>
        <v>5.1.1</v>
      </c>
      <c r="P194" s="198" t="str">
        <f>VLOOKUP($B194,'Standards Crosswalk'!$A1:$H321,6,FALSE)</f>
        <v>ID.GV-3</v>
      </c>
      <c r="Q194" s="343" t="str">
        <f>VLOOKUP($B194,'Standards Crosswalk'!$A1:$H321,7,FALSE)</f>
        <v/>
      </c>
      <c r="R194" s="198" t="str">
        <f>VLOOKUP($B194,'Standards Crosswalk'!$A1:$H321,8,FALSE)</f>
        <v>CA-5, PM-1</v>
      </c>
      <c r="S194" s="198" t="str">
        <f>VLOOKUP($B194,'Standards Crosswalk'!$A1:$I321,9,FALSE)</f>
        <v>12.1, 5.4 (?)</v>
      </c>
      <c r="T194" s="181"/>
      <c r="U194" s="181"/>
      <c r="V194" s="181"/>
      <c r="W194" s="181"/>
      <c r="X194" s="181"/>
      <c r="Y194" s="181"/>
      <c r="Z194" s="6"/>
    </row>
    <row r="195" ht="57.75" customHeight="1">
      <c r="A195" s="334">
        <f t="shared" si="7"/>
        <v>193</v>
      </c>
      <c r="B195" s="335" t="s">
        <v>639</v>
      </c>
      <c r="C195" s="336" t="str">
        <f>VLOOKUP(B195,'HECVAT - Full'!A1:E312,2,FALSE)</f>
        <v>Do you have an information security awareness program?</v>
      </c>
      <c r="D195" s="358" t="str">
        <f>VLOOKUP(B195,'HECVAT - Full'!A1:E312,4,FALSE)</f>
        <v>Required annual training</v>
      </c>
      <c r="E195" s="337" t="b">
        <f t="shared" si="8"/>
        <v>1</v>
      </c>
      <c r="F195" s="357" t="s">
        <v>3128</v>
      </c>
      <c r="G195" s="335" t="s">
        <v>90</v>
      </c>
      <c r="H195" s="338">
        <v>1.0</v>
      </c>
      <c r="I195" s="349" t="str">
        <f>VLOOKUP(B195,'HECVAT - Full'!A1:E312,3,FALSE)</f>
        <v>Yes</v>
      </c>
      <c r="J195" s="181">
        <f t="shared" si="60"/>
        <v>1</v>
      </c>
      <c r="K195" s="181">
        <f t="shared" si="65"/>
        <v>25</v>
      </c>
      <c r="L195" s="181">
        <f t="shared" si="6"/>
        <v>25</v>
      </c>
      <c r="M195" s="198" t="str">
        <f>VLOOKUP($B195,'Standards Crosswalk'!$A1:$H321,3,FALSE)</f>
        <v>CSC 17</v>
      </c>
      <c r="N195" s="198" t="str">
        <f>VLOOKUP($B195,'Standards Crosswalk'!$A1:$H321,4,FALSE)</f>
        <v>§164.308(a)(5)(i)</v>
      </c>
      <c r="O195" s="198" t="str">
        <f>VLOOKUP($B195,'Standards Crosswalk'!$A1:$H321,5,FALSE)</f>
        <v>7.2.2</v>
      </c>
      <c r="P195" s="198" t="str">
        <f>VLOOKUP($B195,'Standards Crosswalk'!$A1:$H321,6,FALSE)</f>
        <v>PR.AT-1</v>
      </c>
      <c r="Q195" s="198" t="str">
        <f>VLOOKUP($B195,'Standards Crosswalk'!$A1:$H321,7,FALSE)</f>
        <v>3.2.1</v>
      </c>
      <c r="R195" s="198" t="str">
        <f>VLOOKUP($B195,'Standards Crosswalk'!$A1:$H321,8,FALSE)</f>
        <v>AT-2, CA-5, PM-1</v>
      </c>
      <c r="S195" s="343">
        <f>VLOOKUP($B195,'Standards Crosswalk'!$A1:$I321,9,FALSE)</f>
        <v>12.6</v>
      </c>
      <c r="T195" s="181"/>
      <c r="U195" s="181"/>
      <c r="V195" s="181"/>
      <c r="W195" s="181"/>
      <c r="X195" s="181"/>
      <c r="Y195" s="181"/>
      <c r="Z195" s="6"/>
    </row>
    <row r="196" ht="57.75" customHeight="1">
      <c r="A196" s="334">
        <f t="shared" si="7"/>
        <v>194</v>
      </c>
      <c r="B196" s="335" t="s">
        <v>642</v>
      </c>
      <c r="C196" s="336" t="str">
        <f>VLOOKUP(B196,'HECVAT - Full'!A1:E312,2,FALSE)</f>
        <v>Is security awareness training mandatory for all employees?</v>
      </c>
      <c r="D196" s="334" t="str">
        <f>VLOOKUP(B196,'HECVAT - Full'!A1:E312,4,FALSE)</f>
        <v>This is documented here: https://ltiaas.com/compliance/Comprehensive_IT_Security_Policy.pdf</v>
      </c>
      <c r="E196" s="337" t="b">
        <f t="shared" si="8"/>
        <v>0</v>
      </c>
      <c r="F196" s="357" t="s">
        <v>3128</v>
      </c>
      <c r="G196" s="335" t="s">
        <v>90</v>
      </c>
      <c r="H196" s="338">
        <v>1.0</v>
      </c>
      <c r="I196" s="349" t="str">
        <f>VLOOKUP(B196,'HECVAT - Full'!A1:E312,3,FALSE)</f>
        <v>Yes</v>
      </c>
      <c r="J196" s="181">
        <f t="shared" si="60"/>
        <v>1</v>
      </c>
      <c r="K196" s="181">
        <f t="shared" ref="K196:K198" si="66">IF(H196=1,20,"")</f>
        <v>20</v>
      </c>
      <c r="L196" s="181">
        <f t="shared" si="6"/>
        <v>20</v>
      </c>
      <c r="M196" s="198" t="str">
        <f>VLOOKUP($B196,'Standards Crosswalk'!$A1:$H321,3,FALSE)</f>
        <v>CSC 17</v>
      </c>
      <c r="N196" s="198" t="str">
        <f>VLOOKUP($B196,'Standards Crosswalk'!$A1:$H321,4,FALSE)</f>
        <v>§164.308(a)(5)(i)</v>
      </c>
      <c r="O196" s="198" t="str">
        <f>VLOOKUP($B196,'Standards Crosswalk'!$A1:$H321,5,FALSE)</f>
        <v>7.2.2</v>
      </c>
      <c r="P196" s="198" t="str">
        <f>VLOOKUP($B196,'Standards Crosswalk'!$A1:$H321,6,FALSE)</f>
        <v>PR.AT-1</v>
      </c>
      <c r="Q196" s="198" t="str">
        <f>VLOOKUP($B196,'Standards Crosswalk'!$A1:$H321,7,FALSE)</f>
        <v>3.2.1, 3.2.2, 3.2.3</v>
      </c>
      <c r="R196" s="198" t="str">
        <f>VLOOKUP($B196,'Standards Crosswalk'!$A1:$H321,8,FALSE)</f>
        <v>AT-2, AT-3, CA-5, PM-1</v>
      </c>
      <c r="S196" s="343">
        <f>VLOOKUP($B196,'Standards Crosswalk'!$A1:$I321,9,FALSE)</f>
        <v>12.6</v>
      </c>
      <c r="T196" s="181"/>
      <c r="U196" s="181"/>
      <c r="V196" s="181"/>
      <c r="W196" s="181"/>
      <c r="X196" s="181"/>
      <c r="Y196" s="181"/>
      <c r="Z196" s="6"/>
    </row>
    <row r="197" ht="72.0" customHeight="1">
      <c r="A197" s="334">
        <f t="shared" si="7"/>
        <v>195</v>
      </c>
      <c r="B197" s="335" t="s">
        <v>645</v>
      </c>
      <c r="C197" s="336" t="str">
        <f>VLOOKUP(B197,'HECVAT - Full'!A1:E312,2,FALSE)</f>
        <v>Do you have process and procedure(s) documented, and currently followed, that require a review and update of the access-list(s) for privileged accounts?</v>
      </c>
      <c r="D197" s="334" t="str">
        <f>VLOOKUP(B197,'HECVAT - Full'!A1:E312,4,FALSE)</f>
        <v>This is documented here: https://ltiaas.com/compliance/Comprehensive_IT_Security_Policy.pdf</v>
      </c>
      <c r="E197" s="337" t="b">
        <f t="shared" si="8"/>
        <v>0</v>
      </c>
      <c r="F197" s="357" t="s">
        <v>3128</v>
      </c>
      <c r="G197" s="335" t="s">
        <v>90</v>
      </c>
      <c r="H197" s="338">
        <v>1.0</v>
      </c>
      <c r="I197" s="349" t="str">
        <f>VLOOKUP(B197,'HECVAT - Full'!A1:E312,3,FALSE)</f>
        <v>Yes</v>
      </c>
      <c r="J197" s="181">
        <f t="shared" si="60"/>
        <v>1</v>
      </c>
      <c r="K197" s="181">
        <f t="shared" si="66"/>
        <v>20</v>
      </c>
      <c r="L197" s="181">
        <f t="shared" si="6"/>
        <v>20</v>
      </c>
      <c r="M197" s="198" t="str">
        <f>VLOOKUP($B197,'Standards Crosswalk'!$A1:$H321,3,FALSE)</f>
        <v>CSC 17</v>
      </c>
      <c r="N197" s="198" t="str">
        <f>VLOOKUP($B197,'Standards Crosswalk'!$A1:$H321,4,FALSE)</f>
        <v/>
      </c>
      <c r="O197" s="198" t="str">
        <f>VLOOKUP($B197,'Standards Crosswalk'!$A1:$H321,5,FALSE)</f>
        <v>9.2.5</v>
      </c>
      <c r="P197" s="198" t="str">
        <f>VLOOKUP($B197,'Standards Crosswalk'!$A1:$H321,6,FALSE)</f>
        <v>PR.AC-4, PR.PT-3</v>
      </c>
      <c r="Q197" s="198" t="str">
        <f>VLOOKUP($B197,'Standards Crosswalk'!$A1:$H321,7,FALSE)</f>
        <v>3.1.7</v>
      </c>
      <c r="R197" s="198" t="str">
        <f>VLOOKUP($B197,'Standards Crosswalk'!$A1:$H321,8,FALSE)</f>
        <v>CA-5, PM-1</v>
      </c>
      <c r="S197" s="198" t="str">
        <f>VLOOKUP($B197,'Standards Crosswalk'!$A1:$I321,9,FALSE)</f>
        <v>12.1, 12.5, 12.6</v>
      </c>
      <c r="T197" s="181"/>
      <c r="U197" s="181"/>
      <c r="V197" s="181"/>
      <c r="W197" s="181"/>
      <c r="X197" s="181"/>
      <c r="Y197" s="181"/>
      <c r="Z197" s="6"/>
    </row>
    <row r="198" ht="93.75" customHeight="1">
      <c r="A198" s="334">
        <f t="shared" si="7"/>
        <v>196</v>
      </c>
      <c r="B198" s="335" t="s">
        <v>648</v>
      </c>
      <c r="C198" s="336" t="str">
        <f>VLOOKUP(B198,'HECVAT - Full'!A1:E312,2,FALSE)</f>
        <v>Do you have documented, and currently implemented, internal audit processes and procedures?</v>
      </c>
      <c r="D198" s="334" t="str">
        <f>VLOOKUP(B198,'HECVAT - Full'!A1:E312,4,FALSE)</f>
        <v>This is documented here: https://ltiaas.com/compliance/Comprehensive_IT_Security_Policy.pdf</v>
      </c>
      <c r="E198" s="337" t="b">
        <f t="shared" si="8"/>
        <v>0</v>
      </c>
      <c r="F198" s="357" t="s">
        <v>3128</v>
      </c>
      <c r="G198" s="335" t="s">
        <v>90</v>
      </c>
      <c r="H198" s="338">
        <v>1.0</v>
      </c>
      <c r="I198" s="349" t="str">
        <f>VLOOKUP(B198,'HECVAT - Full'!A1:E312,3,FALSE)</f>
        <v>Yes</v>
      </c>
      <c r="J198" s="181">
        <f t="shared" si="60"/>
        <v>1</v>
      </c>
      <c r="K198" s="181">
        <f t="shared" si="66"/>
        <v>20</v>
      </c>
      <c r="L198" s="181">
        <f t="shared" si="6"/>
        <v>20</v>
      </c>
      <c r="M198" s="198" t="str">
        <f>VLOOKUP($B198,'Standards Crosswalk'!$A1:$H321,3,FALSE)</f>
        <v/>
      </c>
      <c r="N198" s="198" t="str">
        <f>VLOOKUP($B198,'Standards Crosswalk'!$A1:$H321,4,FALSE)</f>
        <v/>
      </c>
      <c r="O198" s="198" t="str">
        <f>VLOOKUP($B198,'Standards Crosswalk'!$A1:$H321,5,FALSE)</f>
        <v>12.7.1</v>
      </c>
      <c r="P198" s="198" t="str">
        <f>VLOOKUP($B198,'Standards Crosswalk'!$A1:$H321,6,FALSE)</f>
        <v/>
      </c>
      <c r="Q198" s="343" t="str">
        <f>VLOOKUP($B198,'Standards Crosswalk'!$A1:$H321,7,FALSE)</f>
        <v/>
      </c>
      <c r="R198" s="198" t="str">
        <f>VLOOKUP($B198,'Standards Crosswalk'!$A1:$H321,8,FALSE)</f>
        <v>CA-5, PM-1, PS-4, PS-5, PE-2, PE-3, PE-5, AC-6, RA-3, SA-8, CA-2, NIST SP 800-37; NIST SP 800-39; NIST SP 800-115; NIST SP 800-137</v>
      </c>
      <c r="S198" s="343" t="str">
        <f>VLOOKUP($B198,'Standards Crosswalk'!$A1:$I321,9,FALSE)</f>
        <v/>
      </c>
      <c r="T198" s="181"/>
      <c r="U198" s="181"/>
      <c r="V198" s="181"/>
      <c r="W198" s="181"/>
      <c r="X198" s="181"/>
      <c r="Y198" s="181"/>
      <c r="Z198" s="6"/>
    </row>
    <row r="199" ht="43.5" customHeight="1">
      <c r="A199" s="334">
        <f t="shared" si="7"/>
        <v>197</v>
      </c>
      <c r="B199" s="335" t="s">
        <v>651</v>
      </c>
      <c r="C199" s="336" t="str">
        <f>VLOOKUP(B199,'HECVAT - Full'!A1:E312,2,FALSE)</f>
        <v>Do you incorporate customer feedback into security feature requests?</v>
      </c>
      <c r="D199" s="358" t="str">
        <f>VLOOKUP(B199,'HECVAT - Full'!A1:E312,4,FALSE)</f>
        <v>Customer feedback is accepted via email</v>
      </c>
      <c r="E199" s="337" t="b">
        <f t="shared" si="8"/>
        <v>0</v>
      </c>
      <c r="F199" s="357" t="s">
        <v>3139</v>
      </c>
      <c r="G199" s="335" t="s">
        <v>90</v>
      </c>
      <c r="H199" s="338">
        <v>1.0</v>
      </c>
      <c r="I199" s="349" t="str">
        <f>VLOOKUP(B199,'HECVAT - Full'!A1:E312,3,FALSE)</f>
        <v>Yes</v>
      </c>
      <c r="J199" s="181">
        <f t="shared" si="60"/>
        <v>1</v>
      </c>
      <c r="K199" s="181">
        <f t="shared" ref="K199:K205" si="67">IF(H199=1,15,"")</f>
        <v>15</v>
      </c>
      <c r="L199" s="181">
        <f t="shared" si="6"/>
        <v>15</v>
      </c>
      <c r="M199" s="198" t="str">
        <f>VLOOKUP($B199,'Standards Crosswalk'!$A1:$H321,3,FALSE)</f>
        <v/>
      </c>
      <c r="N199" s="198" t="str">
        <f>VLOOKUP($B199,'Standards Crosswalk'!$A1:$H321,4,FALSE)</f>
        <v/>
      </c>
      <c r="O199" s="198" t="str">
        <f>VLOOKUP($B199,'Standards Crosswalk'!$A1:$H321,5,FALSE)</f>
        <v/>
      </c>
      <c r="P199" s="198" t="str">
        <f>VLOOKUP($B199,'Standards Crosswalk'!$A1:$H321,6,FALSE)</f>
        <v/>
      </c>
      <c r="Q199" s="343" t="str">
        <f>VLOOKUP($B199,'Standards Crosswalk'!$A1:$H321,7,FALSE)</f>
        <v/>
      </c>
      <c r="R199" s="198" t="str">
        <f>VLOOKUP($B199,'Standards Crosswalk'!$A1:$H321,8,FALSE)</f>
        <v/>
      </c>
      <c r="S199" s="198" t="str">
        <f>VLOOKUP($B199,'Standards Crosswalk'!$A1:$I321,9,FALSE)</f>
        <v/>
      </c>
      <c r="T199" s="181"/>
      <c r="U199" s="181"/>
      <c r="V199" s="181"/>
      <c r="W199" s="181"/>
      <c r="X199" s="181"/>
      <c r="Y199" s="181"/>
      <c r="Z199" s="6"/>
    </row>
    <row r="200" ht="29.25" customHeight="1">
      <c r="A200" s="334">
        <f t="shared" si="7"/>
        <v>198</v>
      </c>
      <c r="B200" s="335" t="s">
        <v>654</v>
      </c>
      <c r="C200" s="336" t="str">
        <f>VLOOKUP(B200,'HECVAT - Full'!A1:E312,2,FALSE)</f>
        <v>Can you provide an evaluation site to the institution for testing?</v>
      </c>
      <c r="D200" s="358" t="str">
        <f>VLOOKUP(B200,'HECVAT - Full'!A1:E312,4,FALSE)</f>
        <v>Yes, we allow our customers to have multiple accounts and any can be used for testing</v>
      </c>
      <c r="E200" s="337" t="b">
        <f t="shared" si="8"/>
        <v>0</v>
      </c>
      <c r="F200" s="357" t="s">
        <v>3139</v>
      </c>
      <c r="G200" s="335" t="s">
        <v>90</v>
      </c>
      <c r="H200" s="338">
        <v>1.0</v>
      </c>
      <c r="I200" s="349" t="str">
        <f>VLOOKUP(B200,'HECVAT - Full'!A1:E312,3,FALSE)</f>
        <v>Yes</v>
      </c>
      <c r="J200" s="181">
        <f t="shared" si="60"/>
        <v>1</v>
      </c>
      <c r="K200" s="181">
        <f t="shared" si="67"/>
        <v>15</v>
      </c>
      <c r="L200" s="181">
        <f t="shared" si="6"/>
        <v>15</v>
      </c>
      <c r="M200" s="198" t="str">
        <f>VLOOKUP($B200,'Standards Crosswalk'!$A1:$H321,3,FALSE)</f>
        <v/>
      </c>
      <c r="N200" s="198" t="str">
        <f>VLOOKUP($B200,'Standards Crosswalk'!$A1:$H321,4,FALSE)</f>
        <v/>
      </c>
      <c r="O200" s="198" t="str">
        <f>VLOOKUP($B200,'Standards Crosswalk'!$A1:$H321,5,FALSE)</f>
        <v/>
      </c>
      <c r="P200" s="198" t="str">
        <f>VLOOKUP($B200,'Standards Crosswalk'!$A1:$H321,6,FALSE)</f>
        <v>PR.DS-7</v>
      </c>
      <c r="Q200" s="343" t="str">
        <f>VLOOKUP($B200,'Standards Crosswalk'!$A1:$H321,7,FALSE)</f>
        <v/>
      </c>
      <c r="R200" s="198" t="str">
        <f>VLOOKUP($B200,'Standards Crosswalk'!$A1:$H321,8,FALSE)</f>
        <v/>
      </c>
      <c r="S200" s="198" t="str">
        <f>VLOOKUP($B200,'Standards Crosswalk'!$A1:$I321,9,FALSE)</f>
        <v/>
      </c>
      <c r="T200" s="181"/>
      <c r="U200" s="181"/>
      <c r="V200" s="181"/>
      <c r="W200" s="181"/>
      <c r="X200" s="181"/>
      <c r="Y200" s="181"/>
      <c r="Z200" s="6"/>
    </row>
    <row r="201" ht="29.25" customHeight="1">
      <c r="A201" s="334">
        <f t="shared" si="7"/>
        <v>199</v>
      </c>
      <c r="B201" s="335" t="s">
        <v>657</v>
      </c>
      <c r="C201" s="336" t="str">
        <f>VLOOKUP(B201,'HECVAT - Full'!A1:E312,2,FALSE)</f>
        <v>Provide a general summary of your Quality Assurance program.</v>
      </c>
      <c r="D201" s="334" t="str">
        <f>VLOOKUP(B201,'HECVAT - Full'!A1:E312,4,FALSE)</f>
        <v/>
      </c>
      <c r="E201" s="337" t="b">
        <f t="shared" si="8"/>
        <v>0</v>
      </c>
      <c r="F201" s="357" t="s">
        <v>3140</v>
      </c>
      <c r="G201" s="335" t="s">
        <v>90</v>
      </c>
      <c r="H201" s="338">
        <v>1.0</v>
      </c>
      <c r="I201" s="349" t="str">
        <f>VLOOKUP(B201,'HECVAT - Full'!A1:E312,3,FALSE)</f>
        <v>We don't have a formailly documented one, other than our code quality enforceemnts</v>
      </c>
      <c r="J201" s="181">
        <f>IF(VLOOKUP(B201,'Analyst Report'!$A$41:$G$88,7,FALSE)="Yes",1,0)</f>
        <v>0</v>
      </c>
      <c r="K201" s="181">
        <f t="shared" si="67"/>
        <v>15</v>
      </c>
      <c r="L201" s="181">
        <f t="shared" si="6"/>
        <v>0</v>
      </c>
      <c r="M201" s="198" t="str">
        <f>VLOOKUP($B201,'Standards Crosswalk'!$A1:$H321,3,FALSE)</f>
        <v>CSC 13</v>
      </c>
      <c r="N201" s="198" t="str">
        <f>VLOOKUP($B201,'Standards Crosswalk'!$A1:$H321,4,FALSE)</f>
        <v/>
      </c>
      <c r="O201" s="198" t="str">
        <f>VLOOKUP($B201,'Standards Crosswalk'!$A1:$H321,5,FALSE)</f>
        <v/>
      </c>
      <c r="P201" s="198" t="str">
        <f>VLOOKUP($B201,'Standards Crosswalk'!$A1:$H321,6,FALSE)</f>
        <v/>
      </c>
      <c r="Q201" s="343" t="str">
        <f>VLOOKUP($B201,'Standards Crosswalk'!$A1:$H321,7,FALSE)</f>
        <v/>
      </c>
      <c r="R201" s="198" t="str">
        <f>VLOOKUP($B201,'Standards Crosswalk'!$A1:$H321,8,FALSE)</f>
        <v/>
      </c>
      <c r="S201" s="198" t="str">
        <f>VLOOKUP($B201,'Standards Crosswalk'!$A1:$I321,9,FALSE)</f>
        <v/>
      </c>
      <c r="T201" s="181"/>
      <c r="U201" s="181"/>
      <c r="V201" s="181"/>
      <c r="W201" s="181"/>
      <c r="X201" s="181"/>
      <c r="Y201" s="181"/>
      <c r="Z201" s="6"/>
    </row>
    <row r="202" ht="29.25" customHeight="1">
      <c r="A202" s="334">
        <f t="shared" si="7"/>
        <v>200</v>
      </c>
      <c r="B202" s="335" t="s">
        <v>661</v>
      </c>
      <c r="C202" s="336" t="str">
        <f>VLOOKUP(B202,'HECVAT - Full'!A1:E312,2,FALSE)</f>
        <v>Do you comply with ISO 9001?</v>
      </c>
      <c r="D202" s="358" t="str">
        <f>VLOOKUP(B202,'HECVAT - Full'!A1:E312,4,FALSE)</f>
        <v>This is unknown, so assumned no</v>
      </c>
      <c r="E202" s="337" t="b">
        <f t="shared" si="8"/>
        <v>0</v>
      </c>
      <c r="F202" s="357" t="s">
        <v>3140</v>
      </c>
      <c r="G202" s="335" t="s">
        <v>90</v>
      </c>
      <c r="H202" s="338">
        <v>1.0</v>
      </c>
      <c r="I202" s="349" t="str">
        <f>VLOOKUP(B202,'HECVAT - Full'!A1:E312,3,FALSE)</f>
        <v>No</v>
      </c>
      <c r="J202" s="181">
        <f t="shared" ref="J202:J214" si="68">IF(G202=I202,1,0)</f>
        <v>0</v>
      </c>
      <c r="K202" s="181">
        <f t="shared" si="67"/>
        <v>15</v>
      </c>
      <c r="L202" s="181">
        <f t="shared" si="6"/>
        <v>0</v>
      </c>
      <c r="M202" s="198" t="str">
        <f>VLOOKUP($B202,'Standards Crosswalk'!$A1:$H321,3,FALSE)</f>
        <v>CSC 13</v>
      </c>
      <c r="N202" s="198" t="str">
        <f>VLOOKUP($B202,'Standards Crosswalk'!$A1:$H321,4,FALSE)</f>
        <v/>
      </c>
      <c r="O202" s="198" t="str">
        <f>VLOOKUP($B202,'Standards Crosswalk'!$A1:$H321,5,FALSE)</f>
        <v>18.1.1</v>
      </c>
      <c r="P202" s="198" t="str">
        <f>VLOOKUP($B202,'Standards Crosswalk'!$A1:$H321,6,FALSE)</f>
        <v/>
      </c>
      <c r="Q202" s="343" t="str">
        <f>VLOOKUP($B202,'Standards Crosswalk'!$A1:$H321,7,FALSE)</f>
        <v/>
      </c>
      <c r="R202" s="198" t="str">
        <f>VLOOKUP($B202,'Standards Crosswalk'!$A1:$H321,8,FALSE)</f>
        <v/>
      </c>
      <c r="S202" s="198" t="str">
        <f>VLOOKUP($B202,'Standards Crosswalk'!$A1:$I321,9,FALSE)</f>
        <v/>
      </c>
      <c r="T202" s="181"/>
      <c r="U202" s="181"/>
      <c r="V202" s="181"/>
      <c r="W202" s="181"/>
      <c r="X202" s="181"/>
      <c r="Y202" s="181"/>
      <c r="Z202" s="6"/>
    </row>
    <row r="203" ht="72.0" customHeight="1">
      <c r="A203" s="334">
        <f t="shared" si="7"/>
        <v>201</v>
      </c>
      <c r="B203" s="335" t="s">
        <v>664</v>
      </c>
      <c r="C203" s="336" t="str">
        <f>VLOOKUP(B203,'HECVAT - Full'!A1:E312,2,FALSE)</f>
        <v>Will your company provide quality and performance metrics in relation to the scope of services and performance expectations for the services you are offering?</v>
      </c>
      <c r="D203" s="358" t="str">
        <f>VLOOKUP(B203,'HECVAT - Full'!A1:E312,4,FALSE)</f>
        <v>We are happy to provide any metrics identified as important to our customers</v>
      </c>
      <c r="E203" s="337" t="b">
        <f t="shared" si="8"/>
        <v>0</v>
      </c>
      <c r="F203" s="357" t="s">
        <v>3140</v>
      </c>
      <c r="G203" s="335" t="s">
        <v>90</v>
      </c>
      <c r="H203" s="338">
        <v>1.0</v>
      </c>
      <c r="I203" s="349" t="str">
        <f>VLOOKUP(B203,'HECVAT - Full'!A1:E312,3,FALSE)</f>
        <v>Yes</v>
      </c>
      <c r="J203" s="181">
        <f t="shared" si="68"/>
        <v>1</v>
      </c>
      <c r="K203" s="181">
        <f t="shared" si="67"/>
        <v>15</v>
      </c>
      <c r="L203" s="181">
        <f t="shared" si="6"/>
        <v>15</v>
      </c>
      <c r="M203" s="198" t="str">
        <f>VLOOKUP($B203,'Standards Crosswalk'!$A1:$H321,3,FALSE)</f>
        <v>CSC 13</v>
      </c>
      <c r="N203" s="198" t="str">
        <f>VLOOKUP($B203,'Standards Crosswalk'!$A1:$H321,4,FALSE)</f>
        <v/>
      </c>
      <c r="O203" s="198" t="str">
        <f>VLOOKUP($B203,'Standards Crosswalk'!$A1:$H321,5,FALSE)</f>
        <v/>
      </c>
      <c r="P203" s="198" t="str">
        <f>VLOOKUP($B203,'Standards Crosswalk'!$A1:$H321,6,FALSE)</f>
        <v/>
      </c>
      <c r="Q203" s="343" t="str">
        <f>VLOOKUP($B203,'Standards Crosswalk'!$A1:$H321,7,FALSE)</f>
        <v/>
      </c>
      <c r="R203" s="198" t="str">
        <f>VLOOKUP($B203,'Standards Crosswalk'!$A1:$H321,8,FALSE)</f>
        <v/>
      </c>
      <c r="S203" s="198" t="str">
        <f>VLOOKUP($B203,'Standards Crosswalk'!$A1:$I321,9,FALSE)</f>
        <v/>
      </c>
      <c r="T203" s="181"/>
      <c r="U203" s="181"/>
      <c r="V203" s="181"/>
      <c r="W203" s="181"/>
      <c r="X203" s="181"/>
      <c r="Y203" s="181"/>
      <c r="Z203" s="6"/>
    </row>
    <row r="204" ht="43.5" customHeight="1">
      <c r="A204" s="334">
        <f t="shared" si="7"/>
        <v>202</v>
      </c>
      <c r="B204" s="335" t="s">
        <v>667</v>
      </c>
      <c r="C204" s="336" t="str">
        <f>VLOOKUP(B204,'HECVAT - Full'!A1:E312,2,FALSE)</f>
        <v>Have you supplied products and/or services to the Institution (or its Campuses) in the last five years?</v>
      </c>
      <c r="D204" s="358" t="str">
        <f>VLOOKUP(B204,'HECVAT - Full'!A1:E312,4,FALSE)</f>
        <v/>
      </c>
      <c r="E204" s="337" t="b">
        <f t="shared" si="8"/>
        <v>0</v>
      </c>
      <c r="F204" s="357" t="s">
        <v>3140</v>
      </c>
      <c r="G204" s="335" t="s">
        <v>90</v>
      </c>
      <c r="H204" s="338">
        <v>1.0</v>
      </c>
      <c r="I204" s="349" t="str">
        <f>VLOOKUP(B204,'HECVAT - Full'!A1:E312,3,FALSE)</f>
        <v>No</v>
      </c>
      <c r="J204" s="181">
        <f t="shared" si="68"/>
        <v>0</v>
      </c>
      <c r="K204" s="181">
        <f t="shared" si="67"/>
        <v>15</v>
      </c>
      <c r="L204" s="181">
        <f t="shared" si="6"/>
        <v>0</v>
      </c>
      <c r="M204" s="198" t="str">
        <f>VLOOKUP($B204,'Standards Crosswalk'!$A1:$H321,3,FALSE)</f>
        <v/>
      </c>
      <c r="N204" s="198" t="str">
        <f>VLOOKUP($B204,'Standards Crosswalk'!$A1:$H321,4,FALSE)</f>
        <v/>
      </c>
      <c r="O204" s="198" t="str">
        <f>VLOOKUP($B204,'Standards Crosswalk'!$A1:$H321,5,FALSE)</f>
        <v/>
      </c>
      <c r="P204" s="198" t="str">
        <f>VLOOKUP($B204,'Standards Crosswalk'!$A1:$H321,6,FALSE)</f>
        <v/>
      </c>
      <c r="Q204" s="343" t="str">
        <f>VLOOKUP($B204,'Standards Crosswalk'!$A1:$H321,7,FALSE)</f>
        <v/>
      </c>
      <c r="R204" s="198" t="str">
        <f>VLOOKUP($B204,'Standards Crosswalk'!$A1:$H321,8,FALSE)</f>
        <v/>
      </c>
      <c r="S204" s="198" t="str">
        <f>VLOOKUP($B204,'Standards Crosswalk'!$A1:$I321,9,FALSE)</f>
        <v/>
      </c>
      <c r="T204" s="181"/>
      <c r="U204" s="181"/>
      <c r="V204" s="181"/>
      <c r="W204" s="181"/>
      <c r="X204" s="181"/>
      <c r="Y204" s="181"/>
      <c r="Z204" s="6"/>
    </row>
    <row r="205" ht="43.5" customHeight="1">
      <c r="A205" s="334">
        <f t="shared" si="7"/>
        <v>203</v>
      </c>
      <c r="B205" s="335" t="s">
        <v>669</v>
      </c>
      <c r="C205" s="336" t="str">
        <f>VLOOKUP(B205,'HECVAT - Full'!A1:E312,2,FALSE)</f>
        <v>Do you have a program to keep your customers abreast of higher education and/or industry issues?</v>
      </c>
      <c r="D205" s="358" t="str">
        <f>VLOOKUP(B205,'HECVAT - Full'!A1:E312,4,FALSE)</f>
        <v>We have an email system to notify users of industry opdates that may impact them</v>
      </c>
      <c r="E205" s="337" t="b">
        <f t="shared" si="8"/>
        <v>0</v>
      </c>
      <c r="F205" s="357" t="s">
        <v>3140</v>
      </c>
      <c r="G205" s="335" t="s">
        <v>90</v>
      </c>
      <c r="H205" s="338">
        <v>1.0</v>
      </c>
      <c r="I205" s="349" t="str">
        <f>VLOOKUP(B205,'HECVAT - Full'!A1:E312,3,FALSE)</f>
        <v>Yes</v>
      </c>
      <c r="J205" s="181">
        <f t="shared" si="68"/>
        <v>1</v>
      </c>
      <c r="K205" s="181">
        <f t="shared" si="67"/>
        <v>15</v>
      </c>
      <c r="L205" s="181">
        <f t="shared" si="6"/>
        <v>15</v>
      </c>
      <c r="M205" s="198" t="str">
        <f>VLOOKUP($B205,'Standards Crosswalk'!$A1:$H321,3,FALSE)</f>
        <v>CSC 17</v>
      </c>
      <c r="N205" s="198" t="str">
        <f>VLOOKUP($B205,'Standards Crosswalk'!$A1:$H321,4,FALSE)</f>
        <v/>
      </c>
      <c r="O205" s="198" t="str">
        <f>VLOOKUP($B205,'Standards Crosswalk'!$A1:$H321,5,FALSE)</f>
        <v/>
      </c>
      <c r="P205" s="198" t="str">
        <f>VLOOKUP($B205,'Standards Crosswalk'!$A1:$H321,6,FALSE)</f>
        <v/>
      </c>
      <c r="Q205" s="343" t="str">
        <f>VLOOKUP($B205,'Standards Crosswalk'!$A1:$H321,7,FALSE)</f>
        <v/>
      </c>
      <c r="R205" s="198" t="str">
        <f>VLOOKUP($B205,'Standards Crosswalk'!$A1:$H321,8,FALSE)</f>
        <v/>
      </c>
      <c r="S205" s="198" t="str">
        <f>VLOOKUP($B205,'Standards Crosswalk'!$A1:$I321,9,FALSE)</f>
        <v/>
      </c>
      <c r="T205" s="181"/>
      <c r="U205" s="181"/>
      <c r="V205" s="181"/>
      <c r="W205" s="181"/>
      <c r="X205" s="181"/>
      <c r="Y205" s="181"/>
      <c r="Z205" s="6"/>
    </row>
    <row r="206" ht="72.0" customHeight="1">
      <c r="A206" s="334">
        <f t="shared" si="7"/>
        <v>204</v>
      </c>
      <c r="B206" s="335" t="s">
        <v>672</v>
      </c>
      <c r="C206" s="336" t="str">
        <f>VLOOKUP(B206,'HECVAT - Full'!A1:E312,2,FALSE)</f>
        <v>Are systems that support this service managed via a separate management network?</v>
      </c>
      <c r="D206" s="334" t="str">
        <f>VLOOKUP(B206,'HECVAT - Full'!A1:E312,4,FALSE)</f>
        <v>Yes, Google Cloud Run manages this infrastructure for us.</v>
      </c>
      <c r="E206" s="337" t="b">
        <f t="shared" si="8"/>
        <v>1</v>
      </c>
      <c r="F206" s="357" t="s">
        <v>3129</v>
      </c>
      <c r="G206" s="335" t="s">
        <v>90</v>
      </c>
      <c r="H206" s="338">
        <v>1.0</v>
      </c>
      <c r="I206" s="349" t="str">
        <f>VLOOKUP(B206,'HECVAT - Full'!A1:E312,3,FALSE)</f>
        <v>Yes</v>
      </c>
      <c r="J206" s="181">
        <f t="shared" si="68"/>
        <v>1</v>
      </c>
      <c r="K206" s="181">
        <f>IF(H206=1,25,"")</f>
        <v>25</v>
      </c>
      <c r="L206" s="181">
        <f t="shared" si="6"/>
        <v>25</v>
      </c>
      <c r="M206" s="198" t="str">
        <f>VLOOKUP($B206,'Standards Crosswalk'!$A1:$H321,3,FALSE)</f>
        <v>CSC 12</v>
      </c>
      <c r="N206" s="198" t="str">
        <f>VLOOKUP($B206,'Standards Crosswalk'!$A1:$H321,4,FALSE)</f>
        <v/>
      </c>
      <c r="O206" s="198" t="str">
        <f>VLOOKUP($B206,'Standards Crosswalk'!$A1:$H321,5,FALSE)</f>
        <v>13.1.1</v>
      </c>
      <c r="P206" s="198" t="str">
        <f>VLOOKUP($B206,'Standards Crosswalk'!$A1:$H321,6,FALSE)</f>
        <v>PR.PT-4</v>
      </c>
      <c r="Q206" s="198" t="str">
        <f>VLOOKUP($B206,'Standards Crosswalk'!$A1:$H321,7,FALSE)</f>
        <v>3.1.3</v>
      </c>
      <c r="R206" s="198" t="str">
        <f>VLOOKUP($B206,'Standards Crosswalk'!$A1:$H321,8,FALSE)</f>
        <v>AC-4</v>
      </c>
      <c r="S206" s="198" t="str">
        <f>VLOOKUP($B206,'Standards Crosswalk'!$A1:$I321,9,FALSE)</f>
        <v/>
      </c>
      <c r="T206" s="181"/>
      <c r="U206" s="181"/>
      <c r="V206" s="181"/>
      <c r="W206" s="181"/>
      <c r="X206" s="181"/>
      <c r="Y206" s="181"/>
      <c r="Z206" s="6"/>
    </row>
    <row r="207" ht="72.0" customHeight="1">
      <c r="A207" s="334">
        <f t="shared" si="7"/>
        <v>205</v>
      </c>
      <c r="B207" s="335" t="s">
        <v>675</v>
      </c>
      <c r="C207" s="336" t="str">
        <f>VLOOKUP(B207,'HECVAT - Full'!A1:E312,2,FALSE)</f>
        <v>Do you have an implemented system configuration management process? (e.g. secure "gold" images, etc.)</v>
      </c>
      <c r="D207" s="358" t="str">
        <f>VLOOKUP(B207,'HECVAT - Full'!A1:E312,4,FALSE)</f>
        <v>All images are stored in a container registery that is secured by LTIAAS. All configurations are stired on our cluster and revision controlled.</v>
      </c>
      <c r="E207" s="337" t="b">
        <f t="shared" si="8"/>
        <v>0</v>
      </c>
      <c r="F207" s="357" t="s">
        <v>3129</v>
      </c>
      <c r="G207" s="335" t="s">
        <v>90</v>
      </c>
      <c r="H207" s="338">
        <v>1.0</v>
      </c>
      <c r="I207" s="349" t="str">
        <f>VLOOKUP(B207,'HECVAT - Full'!A1:E312,3,FALSE)</f>
        <v>Yes</v>
      </c>
      <c r="J207" s="181">
        <f t="shared" si="68"/>
        <v>1</v>
      </c>
      <c r="K207" s="181">
        <f>IF(H207=1,10,"")</f>
        <v>10</v>
      </c>
      <c r="L207" s="181">
        <f t="shared" si="6"/>
        <v>10</v>
      </c>
      <c r="M207" s="198" t="str">
        <f>VLOOKUP($B207,'Standards Crosswalk'!$A1:$H321,3,FALSE)</f>
        <v>CSC 3</v>
      </c>
      <c r="N207" s="198" t="str">
        <f>VLOOKUP($B207,'Standards Crosswalk'!$A1:$H321,4,FALSE)</f>
        <v/>
      </c>
      <c r="O207" s="198" t="str">
        <f>VLOOKUP($B207,'Standards Crosswalk'!$A1:$H321,5,FALSE)</f>
        <v/>
      </c>
      <c r="P207" s="198" t="str">
        <f>VLOOKUP($B207,'Standards Crosswalk'!$A1:$H321,6,FALSE)</f>
        <v>PR.IP-1</v>
      </c>
      <c r="Q207" s="198" t="str">
        <f>VLOOKUP($B207,'Standards Crosswalk'!$A1:$H321,7,FALSE)</f>
        <v>3.4.1, 3.4.2, 3.4.3</v>
      </c>
      <c r="R207" s="198" t="str">
        <f>VLOOKUP($B207,'Standards Crosswalk'!$A1:$H321,8,FALSE)</f>
        <v>CM-2, CM-3, CM-6, CM-8</v>
      </c>
      <c r="S207" s="198" t="str">
        <f>VLOOKUP($B207,'Standards Crosswalk'!$A1:$I321,9,FALSE)</f>
        <v/>
      </c>
      <c r="T207" s="181"/>
      <c r="U207" s="181"/>
      <c r="V207" s="181"/>
      <c r="W207" s="181"/>
      <c r="X207" s="181"/>
      <c r="Y207" s="181"/>
      <c r="Z207" s="6"/>
    </row>
    <row r="208" ht="72.0" customHeight="1">
      <c r="A208" s="334">
        <f t="shared" si="7"/>
        <v>206</v>
      </c>
      <c r="B208" s="335" t="s">
        <v>678</v>
      </c>
      <c r="C208" s="336" t="str">
        <f>VLOOKUP(B208,'HECVAT - Full'!A1:E312,2,FALSE)</f>
        <v>Are employee mobile devices managed by your company's Mobile Device Management (MDM) platform?</v>
      </c>
      <c r="D208" s="358" t="str">
        <f>VLOOKUP(B208,'HECVAT - Full'!A1:E312,4,FALSE)</f>
        <v>We do not allow employee mobille devices</v>
      </c>
      <c r="E208" s="337" t="b">
        <f t="shared" si="8"/>
        <v>0</v>
      </c>
      <c r="F208" s="357" t="s">
        <v>3129</v>
      </c>
      <c r="G208" s="335" t="s">
        <v>90</v>
      </c>
      <c r="H208" s="338">
        <v>1.0</v>
      </c>
      <c r="I208" s="349" t="str">
        <f>VLOOKUP(B208,'HECVAT - Full'!A1:E312,3,FALSE)</f>
        <v>No</v>
      </c>
      <c r="J208" s="181">
        <f t="shared" si="68"/>
        <v>0</v>
      </c>
      <c r="K208" s="181">
        <f>IF(H208=1,15,"")</f>
        <v>15</v>
      </c>
      <c r="L208" s="181">
        <f t="shared" si="6"/>
        <v>0</v>
      </c>
      <c r="M208" s="198" t="str">
        <f>VLOOKUP($B208,'Standards Crosswalk'!$A1:$H321,3,FALSE)</f>
        <v>CSC 3</v>
      </c>
      <c r="N208" s="198" t="str">
        <f>VLOOKUP($B208,'Standards Crosswalk'!$A1:$H321,4,FALSE)</f>
        <v/>
      </c>
      <c r="O208" s="198" t="str">
        <f>VLOOKUP($B208,'Standards Crosswalk'!$A1:$H321,5,FALSE)</f>
        <v>6.2.1</v>
      </c>
      <c r="P208" s="198" t="str">
        <f>VLOOKUP($B208,'Standards Crosswalk'!$A1:$H321,6,FALSE)</f>
        <v/>
      </c>
      <c r="Q208" s="198" t="str">
        <f>VLOOKUP($B208,'Standards Crosswalk'!$A1:$H321,7,FALSE)</f>
        <v>3.13.13</v>
      </c>
      <c r="R208" s="198" t="str">
        <f>VLOOKUP($B208,'Standards Crosswalk'!$A1:$H321,8,FALSE)</f>
        <v/>
      </c>
      <c r="S208" s="198" t="str">
        <f>VLOOKUP($B208,'Standards Crosswalk'!$A1:$I321,9,FALSE)</f>
        <v/>
      </c>
      <c r="T208" s="181"/>
      <c r="U208" s="181"/>
      <c r="V208" s="181"/>
      <c r="W208" s="181"/>
      <c r="X208" s="181"/>
      <c r="Y208" s="181"/>
      <c r="Z208" s="6"/>
    </row>
    <row r="209" ht="72.0" customHeight="1">
      <c r="A209" s="334">
        <f t="shared" si="7"/>
        <v>207</v>
      </c>
      <c r="B209" s="335" t="s">
        <v>681</v>
      </c>
      <c r="C209" s="336" t="str">
        <f>VLOOKUP(B209,'HECVAT - Full'!A1:E312,2,FALSE)</f>
        <v>Do you have a systems management and configuration strategy that encompasses servers, appliances, and mobile devices (company and employee owned)?</v>
      </c>
      <c r="D209" s="334" t="str">
        <f>VLOOKUP(B209,'HECVAT - Full'!A1:E312,4,FALSE)</f>
        <v>This is documented here: https://ltiaas.com/compliance</v>
      </c>
      <c r="E209" s="337" t="b">
        <f t="shared" si="8"/>
        <v>0</v>
      </c>
      <c r="F209" s="357" t="s">
        <v>3129</v>
      </c>
      <c r="G209" s="335" t="s">
        <v>90</v>
      </c>
      <c r="H209" s="338">
        <v>1.0</v>
      </c>
      <c r="I209" s="349" t="str">
        <f>VLOOKUP(B209,'HECVAT - Full'!A1:E312,3,FALSE)</f>
        <v>Yes</v>
      </c>
      <c r="J209" s="181">
        <f t="shared" si="68"/>
        <v>1</v>
      </c>
      <c r="K209" s="181">
        <f>IF(H209=1,20,"")</f>
        <v>20</v>
      </c>
      <c r="L209" s="181">
        <f t="shared" si="6"/>
        <v>20</v>
      </c>
      <c r="M209" s="198" t="str">
        <f>VLOOKUP($B209,'Standards Crosswalk'!$A1:$H321,3,FALSE)</f>
        <v>CSC 3</v>
      </c>
      <c r="N209" s="198" t="str">
        <f>VLOOKUP($B209,'Standards Crosswalk'!$A1:$H321,4,FALSE)</f>
        <v/>
      </c>
      <c r="O209" s="198" t="str">
        <f>VLOOKUP($B209,'Standards Crosswalk'!$A1:$H321,5,FALSE)</f>
        <v>12.1.1</v>
      </c>
      <c r="P209" s="198" t="str">
        <f>VLOOKUP($B209,'Standards Crosswalk'!$A1:$H321,6,FALSE)</f>
        <v>PR.IP-1, PR.IP-2</v>
      </c>
      <c r="Q209" s="198" t="str">
        <f>VLOOKUP($B209,'Standards Crosswalk'!$A1:$H321,7,FALSE)</f>
        <v>3.1.18, 3.7.1, 3.13.13</v>
      </c>
      <c r="R209" s="198" t="str">
        <f>VLOOKUP($B209,'Standards Crosswalk'!$A1:$H321,8,FALSE)</f>
        <v>CM-2, CM-6, CM-3, AC-19, MA-2</v>
      </c>
      <c r="S209" s="198" t="str">
        <f>VLOOKUP($B209,'Standards Crosswalk'!$A1:$I321,9,FALSE)</f>
        <v/>
      </c>
      <c r="T209" s="181"/>
      <c r="U209" s="181"/>
      <c r="V209" s="181"/>
      <c r="W209" s="181"/>
      <c r="X209" s="181"/>
      <c r="Y209" s="181"/>
      <c r="Z209" s="6"/>
    </row>
    <row r="210" ht="43.5" customHeight="1">
      <c r="A210" s="334">
        <f t="shared" si="7"/>
        <v>208</v>
      </c>
      <c r="B210" s="335" t="s">
        <v>684</v>
      </c>
      <c r="C210" s="336" t="str">
        <f>VLOOKUP(B210,'HECVAT - Full'!A1:E312,2,FALSE)</f>
        <v>Are your applications scanned externally for vulnerabilities?</v>
      </c>
      <c r="D210" s="358" t="str">
        <f>VLOOKUP(B210,'HECVAT - Full'!A1:E312,4,FALSE)</f>
        <v>This type of scanning happens annually</v>
      </c>
      <c r="E210" s="337" t="b">
        <f t="shared" si="8"/>
        <v>1</v>
      </c>
      <c r="F210" s="357" t="s">
        <v>3130</v>
      </c>
      <c r="G210" s="335" t="s">
        <v>90</v>
      </c>
      <c r="H210" s="338">
        <v>1.0</v>
      </c>
      <c r="I210" s="349" t="str">
        <f>VLOOKUP(B210,'HECVAT - Full'!A1:E312,3,FALSE)</f>
        <v>Yes</v>
      </c>
      <c r="J210" s="181">
        <f t="shared" si="68"/>
        <v>1</v>
      </c>
      <c r="K210" s="181">
        <f t="shared" ref="K210:K211" si="69">IF(H210=1,25,"")</f>
        <v>25</v>
      </c>
      <c r="L210" s="181">
        <f t="shared" si="6"/>
        <v>25</v>
      </c>
      <c r="M210" s="198" t="str">
        <f>VLOOKUP($B210,'Standards Crosswalk'!$A1:$H321,3,FALSE)</f>
        <v>CSC 4</v>
      </c>
      <c r="N210" s="198" t="str">
        <f>VLOOKUP($B210,'Standards Crosswalk'!$A1:$H321,4,FALSE)</f>
        <v/>
      </c>
      <c r="O210" s="198" t="str">
        <f>VLOOKUP($B210,'Standards Crosswalk'!$A1:$H321,5,FALSE)</f>
        <v>12.6.1</v>
      </c>
      <c r="P210" s="198" t="str">
        <f>VLOOKUP($B210,'Standards Crosswalk'!$A1:$H321,6,FALSE)</f>
        <v>DE.CM-8</v>
      </c>
      <c r="Q210" s="198" t="str">
        <f>VLOOKUP($B210,'Standards Crosswalk'!$A1:$H321,7,FALSE)</f>
        <v>3.11.1, 3.11.2, 3.11.3</v>
      </c>
      <c r="R210" s="198" t="str">
        <f>VLOOKUP($B210,'Standards Crosswalk'!$A1:$H321,8,FALSE)</f>
        <v>SI-2</v>
      </c>
      <c r="S210" s="343">
        <f>VLOOKUP($B210,'Standards Crosswalk'!$A1:$I321,9,FALSE)</f>
        <v>11.2</v>
      </c>
      <c r="T210" s="181"/>
      <c r="U210" s="181"/>
      <c r="V210" s="181"/>
      <c r="W210" s="181"/>
      <c r="X210" s="181"/>
      <c r="Y210" s="181"/>
      <c r="Z210" s="6"/>
    </row>
    <row r="211" ht="43.5" customHeight="1">
      <c r="A211" s="334">
        <f t="shared" si="7"/>
        <v>209</v>
      </c>
      <c r="B211" s="335" t="s">
        <v>687</v>
      </c>
      <c r="C211" s="336" t="str">
        <f>VLOOKUP(B211,'HECVAT - Full'!A1:E312,2,FALSE)</f>
        <v>Have your applications had an external vulnerability assessment in the last year?</v>
      </c>
      <c r="D211" s="358" t="str">
        <f>VLOOKUP(B211,'HECVAT - Full'!A1:E312,4,FALSE)</f>
        <v>Last done in June, 2021</v>
      </c>
      <c r="E211" s="337" t="b">
        <f t="shared" si="8"/>
        <v>1</v>
      </c>
      <c r="F211" s="357" t="s">
        <v>3130</v>
      </c>
      <c r="G211" s="335" t="s">
        <v>90</v>
      </c>
      <c r="H211" s="338">
        <f>IF(I210="Yes",1,0)</f>
        <v>1</v>
      </c>
      <c r="I211" s="349" t="str">
        <f>VLOOKUP(B211,'HECVAT - Full'!A1:E312,3,FALSE)</f>
        <v>Yes</v>
      </c>
      <c r="J211" s="181">
        <f t="shared" si="68"/>
        <v>1</v>
      </c>
      <c r="K211" s="198">
        <f t="shared" si="69"/>
        <v>25</v>
      </c>
      <c r="L211" s="198">
        <f t="shared" si="6"/>
        <v>25</v>
      </c>
      <c r="M211" s="198" t="str">
        <f>VLOOKUP($B211,'Standards Crosswalk'!$A1:$H321,3,FALSE)</f>
        <v>CSC 4</v>
      </c>
      <c r="N211" s="198" t="str">
        <f>VLOOKUP($B211,'Standards Crosswalk'!$A1:$H321,4,FALSE)</f>
        <v/>
      </c>
      <c r="O211" s="198" t="str">
        <f>VLOOKUP($B211,'Standards Crosswalk'!$A1:$H321,5,FALSE)</f>
        <v>12.6.1</v>
      </c>
      <c r="P211" s="198" t="str">
        <f>VLOOKUP($B211,'Standards Crosswalk'!$A1:$H321,6,FALSE)</f>
        <v>DE.CM-8</v>
      </c>
      <c r="Q211" s="198" t="str">
        <f>VLOOKUP($B211,'Standards Crosswalk'!$A1:$H321,7,FALSE)</f>
        <v>3.11.1, 3.11.2, 3.11.3</v>
      </c>
      <c r="R211" s="198" t="str">
        <f>VLOOKUP($B211,'Standards Crosswalk'!$A1:$H321,8,FALSE)</f>
        <v>SI-2</v>
      </c>
      <c r="S211" s="343">
        <f>VLOOKUP($B211,'Standards Crosswalk'!$A1:$I321,9,FALSE)</f>
        <v>11.2</v>
      </c>
      <c r="T211" s="181"/>
      <c r="U211" s="181"/>
      <c r="V211" s="181"/>
      <c r="W211" s="181"/>
      <c r="X211" s="181"/>
      <c r="Y211" s="181"/>
      <c r="Z211" s="6"/>
    </row>
    <row r="212" ht="43.5" customHeight="1">
      <c r="A212" s="334">
        <f t="shared" si="7"/>
        <v>210</v>
      </c>
      <c r="B212" s="335" t="s">
        <v>690</v>
      </c>
      <c r="C212" s="336" t="str">
        <f>VLOOKUP(B212,'HECVAT - Full'!A1:E312,2,FALSE)</f>
        <v>Are your applications scanned for vulnerabilities prior to new releases?</v>
      </c>
      <c r="D212" s="358" t="str">
        <f>VLOOKUP(B212,'HECVAT - Full'!A1:E312,4,FALSE)</f>
        <v>They are scaned via our CI pipeline</v>
      </c>
      <c r="E212" s="337" t="b">
        <f t="shared" si="8"/>
        <v>0</v>
      </c>
      <c r="F212" s="357" t="s">
        <v>3130</v>
      </c>
      <c r="G212" s="335" t="s">
        <v>90</v>
      </c>
      <c r="H212" s="338">
        <v>1.0</v>
      </c>
      <c r="I212" s="349" t="str">
        <f>VLOOKUP(B212,'HECVAT - Full'!A1:E312,3,FALSE)</f>
        <v>Yes</v>
      </c>
      <c r="J212" s="181">
        <f t="shared" si="68"/>
        <v>1</v>
      </c>
      <c r="K212" s="181">
        <f>IF(H212=1,20,"")</f>
        <v>20</v>
      </c>
      <c r="L212" s="181">
        <f t="shared" si="6"/>
        <v>20</v>
      </c>
      <c r="M212" s="198" t="str">
        <f>VLOOKUP($B212,'Standards Crosswalk'!$A1:$H321,3,FALSE)</f>
        <v>CSC 4</v>
      </c>
      <c r="N212" s="198" t="str">
        <f>VLOOKUP($B212,'Standards Crosswalk'!$A1:$H321,4,FALSE)</f>
        <v/>
      </c>
      <c r="O212" s="198" t="str">
        <f>VLOOKUP($B212,'Standards Crosswalk'!$A1:$H321,5,FALSE)</f>
        <v/>
      </c>
      <c r="P212" s="198" t="str">
        <f>VLOOKUP($B212,'Standards Crosswalk'!$A1:$H321,6,FALSE)</f>
        <v>DE.CM-8</v>
      </c>
      <c r="Q212" s="198" t="str">
        <f>VLOOKUP($B212,'Standards Crosswalk'!$A1:$H321,7,FALSE)</f>
        <v>3.11.1, 3.11.2, 3.11.3</v>
      </c>
      <c r="R212" s="198" t="str">
        <f>VLOOKUP($B212,'Standards Crosswalk'!$A1:$H321,8,FALSE)</f>
        <v>SI-2</v>
      </c>
      <c r="S212" s="343">
        <f>VLOOKUP($B212,'Standards Crosswalk'!$A1:$I321,9,FALSE)</f>
        <v>11.2</v>
      </c>
      <c r="T212" s="181"/>
      <c r="U212" s="181"/>
      <c r="V212" s="181"/>
      <c r="W212" s="181"/>
      <c r="X212" s="181"/>
      <c r="Y212" s="181"/>
      <c r="Z212" s="6"/>
    </row>
    <row r="213" ht="43.5" customHeight="1">
      <c r="A213" s="334">
        <f t="shared" si="7"/>
        <v>211</v>
      </c>
      <c r="B213" s="335" t="s">
        <v>693</v>
      </c>
      <c r="C213" s="336" t="str">
        <f>VLOOKUP(B213,'HECVAT - Full'!A1:E312,2,FALSE)</f>
        <v>Are your systems scanned externally for vulnerabilities?</v>
      </c>
      <c r="D213" s="358" t="str">
        <f>VLOOKUP(B213,'HECVAT - Full'!A1:E312,4,FALSE)</f>
        <v>From https://firebase.google.com/terms/data-processing-terms: Google employs multiple layers of network devices and intrusion detection to protect its external attack surface. Google considers potential attack vectors and incorporates appropriate purpose built technologies into external facing systems.</v>
      </c>
      <c r="E213" s="337" t="b">
        <f t="shared" si="8"/>
        <v>1</v>
      </c>
      <c r="F213" s="357" t="s">
        <v>3130</v>
      </c>
      <c r="G213" s="335" t="s">
        <v>90</v>
      </c>
      <c r="H213" s="338">
        <v>1.0</v>
      </c>
      <c r="I213" s="349" t="str">
        <f>VLOOKUP(B213,'HECVAT - Full'!A1:E312,3,FALSE)</f>
        <v>Yes</v>
      </c>
      <c r="J213" s="181">
        <f t="shared" si="68"/>
        <v>1</v>
      </c>
      <c r="K213" s="181">
        <f t="shared" ref="K213:K214" si="70">IF(H213=1,25,"")</f>
        <v>25</v>
      </c>
      <c r="L213" s="181">
        <f t="shared" si="6"/>
        <v>25</v>
      </c>
      <c r="M213" s="198" t="str">
        <f>VLOOKUP($B213,'Standards Crosswalk'!$A1:$H321,3,FALSE)</f>
        <v>CSC 4</v>
      </c>
      <c r="N213" s="198" t="str">
        <f>VLOOKUP($B213,'Standards Crosswalk'!$A1:$H321,4,FALSE)</f>
        <v/>
      </c>
      <c r="O213" s="198" t="str">
        <f>VLOOKUP($B213,'Standards Crosswalk'!$A1:$H321,5,FALSE)</f>
        <v/>
      </c>
      <c r="P213" s="198" t="str">
        <f>VLOOKUP($B213,'Standards Crosswalk'!$A1:$H321,6,FALSE)</f>
        <v>DE.CM-8</v>
      </c>
      <c r="Q213" s="198" t="str">
        <f>VLOOKUP($B213,'Standards Crosswalk'!$A1:$H321,7,FALSE)</f>
        <v>3.11.1, 3.11.2, 3.11.3</v>
      </c>
      <c r="R213" s="198" t="str">
        <f>VLOOKUP($B213,'Standards Crosswalk'!$A1:$H321,8,FALSE)</f>
        <v>SI-2</v>
      </c>
      <c r="S213" s="343">
        <f>VLOOKUP($B213,'Standards Crosswalk'!$A1:$I321,9,FALSE)</f>
        <v>11.2</v>
      </c>
      <c r="T213" s="181"/>
      <c r="U213" s="181"/>
      <c r="V213" s="181"/>
      <c r="W213" s="181"/>
      <c r="X213" s="181"/>
      <c r="Y213" s="181"/>
      <c r="Z213" s="6"/>
    </row>
    <row r="214" ht="43.5" customHeight="1">
      <c r="A214" s="334">
        <f t="shared" si="7"/>
        <v>212</v>
      </c>
      <c r="B214" s="335" t="s">
        <v>696</v>
      </c>
      <c r="C214" s="336" t="str">
        <f>VLOOKUP(B214,'HECVAT - Full'!A1:E312,2,FALSE)</f>
        <v>Have your systems had an external vulnerability assessment in the last year?</v>
      </c>
      <c r="D214" s="358" t="str">
        <f>VLOOKUP(B214,'HECVAT - Full'!A1:E312,4,FALSE)</f>
        <v>Last done in MArch, 2023</v>
      </c>
      <c r="E214" s="337" t="b">
        <f t="shared" si="8"/>
        <v>1</v>
      </c>
      <c r="F214" s="357" t="s">
        <v>3130</v>
      </c>
      <c r="G214" s="335" t="s">
        <v>90</v>
      </c>
      <c r="H214" s="338">
        <v>1.0</v>
      </c>
      <c r="I214" s="349" t="str">
        <f>VLOOKUP(B214,'HECVAT - Full'!A1:E312,3,FALSE)</f>
        <v>Yes</v>
      </c>
      <c r="J214" s="181">
        <f t="shared" si="68"/>
        <v>1</v>
      </c>
      <c r="K214" s="181">
        <f t="shared" si="70"/>
        <v>25</v>
      </c>
      <c r="L214" s="181">
        <f t="shared" si="6"/>
        <v>25</v>
      </c>
      <c r="M214" s="198" t="str">
        <f>VLOOKUP($B214,'Standards Crosswalk'!$A1:$H321,3,FALSE)</f>
        <v>CSC 4</v>
      </c>
      <c r="N214" s="198" t="str">
        <f>VLOOKUP($B214,'Standards Crosswalk'!$A1:$H321,4,FALSE)</f>
        <v/>
      </c>
      <c r="O214" s="198" t="str">
        <f>VLOOKUP($B214,'Standards Crosswalk'!$A1:$H321,5,FALSE)</f>
        <v/>
      </c>
      <c r="P214" s="198" t="str">
        <f>VLOOKUP($B214,'Standards Crosswalk'!$A1:$H321,6,FALSE)</f>
        <v>DE.CM-8</v>
      </c>
      <c r="Q214" s="343" t="str">
        <f>VLOOKUP($B214,'Standards Crosswalk'!$A1:$H321,7,FALSE)</f>
        <v/>
      </c>
      <c r="R214" s="198" t="str">
        <f>VLOOKUP($B214,'Standards Crosswalk'!$A1:$H321,8,FALSE)</f>
        <v>SI-2</v>
      </c>
      <c r="S214" s="343">
        <f>VLOOKUP($B214,'Standards Crosswalk'!$A1:$I321,9,FALSE)</f>
        <v>11.2</v>
      </c>
      <c r="T214" s="181"/>
      <c r="U214" s="181"/>
      <c r="V214" s="181"/>
      <c r="W214" s="181"/>
      <c r="X214" s="181"/>
      <c r="Y214" s="181"/>
      <c r="Z214" s="6"/>
    </row>
    <row r="215" ht="57.75" customHeight="1">
      <c r="A215" s="334">
        <f t="shared" si="7"/>
        <v>213</v>
      </c>
      <c r="B215" s="335" t="s">
        <v>699</v>
      </c>
      <c r="C215" s="336" t="str">
        <f>VLOOKUP(B215,'HECVAT - Full'!A1:E312,2,FALSE)</f>
        <v>Describe or provide a reference to the tool(s) used to scan for vulnerabilities in your applications and systems.</v>
      </c>
      <c r="D215" s="334" t="str">
        <f>VLOOKUP(B215,'HECVAT - Full'!A1:E312,4,FALSE)</f>
        <v/>
      </c>
      <c r="E215" s="337" t="b">
        <f t="shared" si="8"/>
        <v>0</v>
      </c>
      <c r="F215" s="357" t="s">
        <v>3130</v>
      </c>
      <c r="G215" s="335" t="s">
        <v>90</v>
      </c>
      <c r="H215" s="338">
        <v>1.0</v>
      </c>
      <c r="I215" s="349" t="str">
        <f>VLOOKUP(B215,'HECVAT - Full'!A1:E312,3,FALSE)</f>
        <v>Trivy and Qualys</v>
      </c>
      <c r="J215" s="181">
        <f>IF(VLOOKUP(B215,'Analyst Report'!$A$41:$G$88,7,FALSE)="Yes",1,0)</f>
        <v>0</v>
      </c>
      <c r="K215" s="181">
        <f t="shared" ref="K215:K216" si="71">IF(H215=1,15,"")</f>
        <v>15</v>
      </c>
      <c r="L215" s="181">
        <f t="shared" si="6"/>
        <v>0</v>
      </c>
      <c r="M215" s="198" t="str">
        <f>VLOOKUP($B215,'Standards Crosswalk'!$A1:$H321,3,FALSE)</f>
        <v>CSC 4</v>
      </c>
      <c r="N215" s="198" t="str">
        <f>VLOOKUP($B215,'Standards Crosswalk'!$A1:$H321,4,FALSE)</f>
        <v/>
      </c>
      <c r="O215" s="198" t="str">
        <f>VLOOKUP($B215,'Standards Crosswalk'!$A1:$H321,5,FALSE)</f>
        <v/>
      </c>
      <c r="P215" s="198" t="str">
        <f>VLOOKUP($B215,'Standards Crosswalk'!$A1:$H321,6,FALSE)</f>
        <v>DE.CM-8</v>
      </c>
      <c r="Q215" s="198" t="str">
        <f>VLOOKUP($B215,'Standards Crosswalk'!$A1:$H321,7,FALSE)</f>
        <v>3.11.1, 3.11.2, 3.11.3</v>
      </c>
      <c r="R215" s="198" t="str">
        <f>VLOOKUP($B215,'Standards Crosswalk'!$A1:$H321,8,FALSE)</f>
        <v>SI-2</v>
      </c>
      <c r="S215" s="343">
        <f>VLOOKUP($B215,'Standards Crosswalk'!$A1:$I321,9,FALSE)</f>
        <v>11.2</v>
      </c>
      <c r="T215" s="181"/>
      <c r="U215" s="181"/>
      <c r="V215" s="181"/>
      <c r="W215" s="181"/>
      <c r="X215" s="181"/>
      <c r="Y215" s="181"/>
      <c r="Z215" s="6"/>
    </row>
    <row r="216" ht="43.5" customHeight="1">
      <c r="A216" s="334">
        <f t="shared" si="7"/>
        <v>214</v>
      </c>
      <c r="B216" s="335" t="s">
        <v>703</v>
      </c>
      <c r="C216" s="336" t="str">
        <f>VLOOKUP(B216,'HECVAT - Full'!A1:E312,2,FALSE)</f>
        <v>Will you provide results of security scans to the Institution?</v>
      </c>
      <c r="D216" s="358" t="str">
        <f>VLOOKUP(B216,'HECVAT - Full'!A1:E312,4,FALSE)</f>
        <v>Upon request</v>
      </c>
      <c r="E216" s="337" t="b">
        <f t="shared" si="8"/>
        <v>0</v>
      </c>
      <c r="F216" s="357" t="s">
        <v>3130</v>
      </c>
      <c r="G216" s="335" t="s">
        <v>90</v>
      </c>
      <c r="H216" s="338">
        <v>1.0</v>
      </c>
      <c r="I216" s="349" t="str">
        <f>VLOOKUP(B216,'HECVAT - Full'!A1:E312,3,FALSE)</f>
        <v>Yes</v>
      </c>
      <c r="J216" s="181">
        <f>IF(G216=I216,1,0)</f>
        <v>1</v>
      </c>
      <c r="K216" s="181">
        <f t="shared" si="71"/>
        <v>15</v>
      </c>
      <c r="L216" s="181">
        <f t="shared" si="6"/>
        <v>15</v>
      </c>
      <c r="M216" s="198" t="str">
        <f>VLOOKUP($B216,'Standards Crosswalk'!$A1:$H321,3,FALSE)</f>
        <v>CSC 4</v>
      </c>
      <c r="N216" s="198" t="str">
        <f>VLOOKUP($B216,'Standards Crosswalk'!$A1:$H321,4,FALSE)</f>
        <v/>
      </c>
      <c r="O216" s="198" t="str">
        <f>VLOOKUP($B216,'Standards Crosswalk'!$A1:$H321,5,FALSE)</f>
        <v/>
      </c>
      <c r="P216" s="198" t="str">
        <f>VLOOKUP($B216,'Standards Crosswalk'!$A1:$H321,6,FALSE)</f>
        <v>DE.CM-8</v>
      </c>
      <c r="Q216" s="343" t="str">
        <f>VLOOKUP($B216,'Standards Crosswalk'!$A1:$H321,7,FALSE)</f>
        <v/>
      </c>
      <c r="R216" s="198" t="str">
        <f>VLOOKUP($B216,'Standards Crosswalk'!$A1:$H321,8,FALSE)</f>
        <v>SI-2</v>
      </c>
      <c r="S216" s="343">
        <f>VLOOKUP($B216,'Standards Crosswalk'!$A1:$I321,9,FALSE)</f>
        <v>11.2</v>
      </c>
      <c r="T216" s="181"/>
      <c r="U216" s="181"/>
      <c r="V216" s="181"/>
      <c r="W216" s="181"/>
      <c r="X216" s="181"/>
      <c r="Y216" s="181"/>
      <c r="Z216" s="6"/>
    </row>
    <row r="217" ht="72.0" customHeight="1">
      <c r="A217" s="334">
        <f t="shared" si="7"/>
        <v>215</v>
      </c>
      <c r="B217" s="335" t="s">
        <v>706</v>
      </c>
      <c r="C217" s="336" t="str">
        <f>VLOOKUP(B217,'HECVAT - Full'!A1:E312,2,FALSE)</f>
        <v>Describe or provide a reference to how you monitor for and protect against common web application security vulnerabilities (e.g. SQL injection, XSS, XSRF, etc.).</v>
      </c>
      <c r="D217" s="334" t="str">
        <f>VLOOKUP(B217,'HECVAT - Full'!A1:E312,4,FALSE)</f>
        <v/>
      </c>
      <c r="E217" s="337" t="b">
        <f t="shared" si="8"/>
        <v>0</v>
      </c>
      <c r="F217" s="357" t="s">
        <v>3130</v>
      </c>
      <c r="G217" s="335" t="s">
        <v>90</v>
      </c>
      <c r="H217" s="338">
        <v>1.0</v>
      </c>
      <c r="I217" s="349" t="str">
        <f>VLOOKUP(B217,'HECVAT - Full'!A1:E312,3,FALSE)</f>
        <v>We sanitize all queries and have a CORS policy that is as strict as possible for our application</v>
      </c>
      <c r="J217" s="181">
        <f>IF(VLOOKUP(B217,'Analyst Report'!$A$41:$G$88,7,FALSE)="Yes",1,0)</f>
        <v>0</v>
      </c>
      <c r="K217" s="181">
        <f>IF(H217=1,20,"")</f>
        <v>20</v>
      </c>
      <c r="L217" s="181">
        <f t="shared" si="6"/>
        <v>0</v>
      </c>
      <c r="M217" s="198" t="str">
        <f>VLOOKUP($B217,'Standards Crosswalk'!$A1:$H321,3,FALSE)</f>
        <v>CSC 7, CSC 18</v>
      </c>
      <c r="N217" s="198" t="str">
        <f>VLOOKUP($B217,'Standards Crosswalk'!$A1:$H321,4,FALSE)</f>
        <v/>
      </c>
      <c r="O217" s="198" t="str">
        <f>VLOOKUP($B217,'Standards Crosswalk'!$A1:$H321,5,FALSE)</f>
        <v>12.6.1</v>
      </c>
      <c r="P217" s="198" t="str">
        <f>VLOOKUP($B217,'Standards Crosswalk'!$A1:$H321,6,FALSE)</f>
        <v>ID.RA-1, DE.CM-8, PR.IP-12</v>
      </c>
      <c r="Q217" s="198" t="str">
        <f>VLOOKUP($B217,'Standards Crosswalk'!$A1:$H321,7,FALSE)</f>
        <v>3.11.1, 3.11.2, 3.11.3, 3.14.2</v>
      </c>
      <c r="R217" s="198" t="str">
        <f>VLOOKUP($B217,'Standards Crosswalk'!$A1:$H321,8,FALSE)</f>
        <v>SI-2</v>
      </c>
      <c r="S217" s="198" t="str">
        <f>VLOOKUP($B217,'Standards Crosswalk'!$A1:$I321,9,FALSE)</f>
        <v>11.2, 11.3</v>
      </c>
      <c r="T217" s="181"/>
      <c r="U217" s="181"/>
      <c r="V217" s="181"/>
      <c r="W217" s="181"/>
      <c r="X217" s="181"/>
      <c r="Y217" s="181"/>
      <c r="Z217" s="6"/>
    </row>
    <row r="218" ht="86.25" customHeight="1">
      <c r="A218" s="334">
        <f t="shared" si="7"/>
        <v>216</v>
      </c>
      <c r="B218" s="335" t="s">
        <v>710</v>
      </c>
      <c r="C218" s="336" t="str">
        <f>VLOOKUP(B218,'HECVAT - Full'!A1:E312,2,FALSE)</f>
        <v>Will you allow the institution to perform its own security testing of your systems and/or application provided that testing is performed at a mutually agreed upon time and date?</v>
      </c>
      <c r="D218" s="358" t="str">
        <f>VLOOKUP(B218,'HECVAT - Full'!A1:E312,4,FALSE)</f>
        <v>This can be done by testing our API endpoints and sorrounding systems</v>
      </c>
      <c r="E218" s="337" t="b">
        <f t="shared" si="8"/>
        <v>1</v>
      </c>
      <c r="F218" s="357" t="s">
        <v>3130</v>
      </c>
      <c r="G218" s="335" t="s">
        <v>90</v>
      </c>
      <c r="H218" s="338">
        <v>1.0</v>
      </c>
      <c r="I218" s="349" t="str">
        <f>VLOOKUP(B218,'HECVAT - Full'!A1:E312,3,FALSE)</f>
        <v>Yes</v>
      </c>
      <c r="J218" s="181">
        <f t="shared" ref="J218:J240" si="72">IF(G218=I218,1,0)</f>
        <v>1</v>
      </c>
      <c r="K218" s="181">
        <f>IF(H218=1,25,"")</f>
        <v>25</v>
      </c>
      <c r="L218" s="181">
        <f t="shared" si="6"/>
        <v>25</v>
      </c>
      <c r="M218" s="198" t="str">
        <f>VLOOKUP($B218,'Standards Crosswalk'!$A1:$H321,3,FALSE)</f>
        <v>CSC 20</v>
      </c>
      <c r="N218" s="198" t="str">
        <f>VLOOKUP($B218,'Standards Crosswalk'!$A1:$H321,4,FALSE)</f>
        <v/>
      </c>
      <c r="O218" s="198" t="str">
        <f>VLOOKUP($B218,'Standards Crosswalk'!$A1:$H321,5,FALSE)</f>
        <v>18.2.1</v>
      </c>
      <c r="P218" s="198" t="str">
        <f>VLOOKUP($B218,'Standards Crosswalk'!$A1:$H321,6,FALSE)</f>
        <v>DE.CM-8</v>
      </c>
      <c r="Q218" s="198" t="str">
        <f>VLOOKUP($B218,'Standards Crosswalk'!$A1:$H321,7,FALSE)</f>
        <v>3.11.1, 3.11.2, 3.11.3</v>
      </c>
      <c r="R218" s="198" t="str">
        <f>VLOOKUP($B218,'Standards Crosswalk'!$A1:$H321,8,FALSE)</f>
        <v>SI-2</v>
      </c>
      <c r="S218" s="198" t="str">
        <f>VLOOKUP($B218,'Standards Crosswalk'!$A1:$I321,9,FALSE)</f>
        <v>11.2, 12.8</v>
      </c>
      <c r="T218" s="181"/>
      <c r="U218" s="181"/>
      <c r="V218" s="181"/>
      <c r="W218" s="181"/>
      <c r="X218" s="181"/>
      <c r="Y218" s="181"/>
      <c r="Z218" s="6"/>
    </row>
    <row r="219" ht="57.75" customHeight="1">
      <c r="A219" s="334">
        <f t="shared" si="7"/>
        <v>217</v>
      </c>
      <c r="B219" s="335" t="s">
        <v>713</v>
      </c>
      <c r="C219" s="336" t="str">
        <f>VLOOKUP(B219,'HECVAT - Full'!A1:E312,2,FALSE)</f>
        <v>Do your workforce members receive regular training related to the HIPAA Privacy and Security Rules and the HITECH Act?</v>
      </c>
      <c r="D219" s="358" t="str">
        <f>VLOOKUP(B219,'HECVAT - Full'!A1:E312,4,FALSE)</f>
        <v/>
      </c>
      <c r="E219" s="337" t="b">
        <f t="shared" si="8"/>
        <v>0</v>
      </c>
      <c r="F219" s="357" t="s">
        <v>803</v>
      </c>
      <c r="G219" s="335" t="s">
        <v>90</v>
      </c>
      <c r="H219" s="338">
        <v>1.0</v>
      </c>
      <c r="I219" s="349" t="str">
        <f>VLOOKUP(B219,'HECVAT - Full'!A1:E312,3,FALSE)</f>
        <v/>
      </c>
      <c r="J219" s="181">
        <f t="shared" si="72"/>
        <v>0</v>
      </c>
      <c r="K219" s="181">
        <f t="shared" ref="K219:K220" si="73">IF(H219=1,20,"")</f>
        <v>20</v>
      </c>
      <c r="L219" s="181">
        <f t="shared" si="6"/>
        <v>0</v>
      </c>
      <c r="M219" s="198" t="str">
        <f>VLOOKUP($B219,'Standards Crosswalk'!$A1:$H321,3,FALSE)</f>
        <v>CSC 17</v>
      </c>
      <c r="N219" s="198" t="str">
        <f>VLOOKUP($B219,'Standards Crosswalk'!$A1:$H321,4,FALSE)</f>
        <v>§164.308(a)(5)(i)</v>
      </c>
      <c r="O219" s="198" t="str">
        <f>VLOOKUP($B219,'Standards Crosswalk'!$A1:$H321,5,FALSE)</f>
        <v>18.1.1, 7.2.2</v>
      </c>
      <c r="P219" s="198" t="str">
        <f>VLOOKUP($B219,'Standards Crosswalk'!$A1:$H321,6,FALSE)</f>
        <v>ID.GV-3</v>
      </c>
      <c r="Q219" s="198" t="str">
        <f>VLOOKUP($B219,'Standards Crosswalk'!$A1:$H321,7,FALSE)</f>
        <v>3.2.2</v>
      </c>
      <c r="R219" s="198" t="str">
        <f>VLOOKUP($B219,'Standards Crosswalk'!$A1:$H321,8,FALSE)</f>
        <v>AT-3</v>
      </c>
      <c r="S219" s="198" t="str">
        <f>VLOOKUP($B219,'Standards Crosswalk'!$A1:$I321,9,FALSE)</f>
        <v/>
      </c>
      <c r="T219" s="181"/>
      <c r="U219" s="181"/>
      <c r="V219" s="181"/>
      <c r="W219" s="181"/>
      <c r="X219" s="181"/>
      <c r="Y219" s="181"/>
      <c r="Z219" s="6"/>
    </row>
    <row r="220" ht="43.5" customHeight="1">
      <c r="A220" s="334">
        <f t="shared" si="7"/>
        <v>218</v>
      </c>
      <c r="B220" s="335" t="s">
        <v>716</v>
      </c>
      <c r="C220" s="336" t="str">
        <f>VLOOKUP(B220,'HECVAT - Full'!A1:E312,2,FALSE)</f>
        <v>Do you monitor or receive information regarding changes in HIPAA regulations?</v>
      </c>
      <c r="D220" s="358" t="str">
        <f>VLOOKUP(B220,'HECVAT - Full'!A1:E312,4,FALSE)</f>
        <v/>
      </c>
      <c r="E220" s="337" t="b">
        <f t="shared" si="8"/>
        <v>0</v>
      </c>
      <c r="F220" s="357" t="s">
        <v>803</v>
      </c>
      <c r="G220" s="335" t="s">
        <v>90</v>
      </c>
      <c r="H220" s="338">
        <v>1.0</v>
      </c>
      <c r="I220" s="349" t="str">
        <f>VLOOKUP(B220,'HECVAT - Full'!A1:E312,3,FALSE)</f>
        <v/>
      </c>
      <c r="J220" s="181">
        <f t="shared" si="72"/>
        <v>0</v>
      </c>
      <c r="K220" s="181">
        <f t="shared" si="73"/>
        <v>20</v>
      </c>
      <c r="L220" s="181">
        <f t="shared" si="6"/>
        <v>0</v>
      </c>
      <c r="M220" s="198" t="str">
        <f>VLOOKUP($B220,'Standards Crosswalk'!$A1:$H321,3,FALSE)</f>
        <v>CSC 13</v>
      </c>
      <c r="N220" s="198" t="str">
        <f>VLOOKUP($B220,'Standards Crosswalk'!$A1:$H321,4,FALSE)</f>
        <v>§164.316(b)(2)(iii)</v>
      </c>
      <c r="O220" s="198" t="str">
        <f>VLOOKUP($B220,'Standards Crosswalk'!$A1:$H321,5,FALSE)</f>
        <v>18.1.1</v>
      </c>
      <c r="P220" s="198" t="str">
        <f>VLOOKUP($B220,'Standards Crosswalk'!$A1:$H321,6,FALSE)</f>
        <v>ID.GV-3</v>
      </c>
      <c r="Q220" s="343" t="str">
        <f>VLOOKUP($B220,'Standards Crosswalk'!$A1:$H321,7,FALSE)</f>
        <v/>
      </c>
      <c r="R220" s="198" t="str">
        <f>VLOOKUP($B220,'Standards Crosswalk'!$A1:$H321,8,FALSE)</f>
        <v/>
      </c>
      <c r="S220" s="198" t="str">
        <f>VLOOKUP($B220,'Standards Crosswalk'!$A1:$I321,9,FALSE)</f>
        <v/>
      </c>
      <c r="T220" s="181"/>
      <c r="U220" s="181"/>
      <c r="V220" s="181"/>
      <c r="W220" s="181"/>
      <c r="X220" s="181"/>
      <c r="Y220" s="181"/>
      <c r="Z220" s="6"/>
    </row>
    <row r="221" ht="43.5" customHeight="1">
      <c r="A221" s="334">
        <f t="shared" si="7"/>
        <v>219</v>
      </c>
      <c r="B221" s="335" t="s">
        <v>718</v>
      </c>
      <c r="C221" s="336" t="str">
        <f>VLOOKUP(B221,'HECVAT - Full'!A1:E312,2,FALSE)</f>
        <v>Has your organization designated HIPAA Privacy and Security officers as required by the Rules?</v>
      </c>
      <c r="D221" s="358" t="str">
        <f>VLOOKUP(B221,'HECVAT - Full'!A1:E312,4,FALSE)</f>
        <v/>
      </c>
      <c r="E221" s="337" t="b">
        <f t="shared" si="8"/>
        <v>1</v>
      </c>
      <c r="F221" s="357" t="s">
        <v>803</v>
      </c>
      <c r="G221" s="335" t="s">
        <v>90</v>
      </c>
      <c r="H221" s="338">
        <v>1.0</v>
      </c>
      <c r="I221" s="349" t="str">
        <f>VLOOKUP(B221,'HECVAT - Full'!A1:E312,3,FALSE)</f>
        <v/>
      </c>
      <c r="J221" s="181">
        <f t="shared" si="72"/>
        <v>0</v>
      </c>
      <c r="K221" s="181">
        <f t="shared" ref="K221:K222" si="74">IF(H221=1,25,"")</f>
        <v>25</v>
      </c>
      <c r="L221" s="181">
        <f t="shared" si="6"/>
        <v>0</v>
      </c>
      <c r="M221" s="198" t="str">
        <f>VLOOKUP($B221,'Standards Crosswalk'!$A1:$H321,3,FALSE)</f>
        <v>CSC 17</v>
      </c>
      <c r="N221" s="198" t="str">
        <f>VLOOKUP($B221,'Standards Crosswalk'!$A1:$H321,4,FALSE)</f>
        <v>§164.308(a)(2)</v>
      </c>
      <c r="O221" s="198" t="str">
        <f>VLOOKUP($B221,'Standards Crosswalk'!$A1:$H321,5,FALSE)</f>
        <v>18.1.1</v>
      </c>
      <c r="P221" s="198" t="str">
        <f>VLOOKUP($B221,'Standards Crosswalk'!$A1:$H321,6,FALSE)</f>
        <v>ID.GV-3</v>
      </c>
      <c r="Q221" s="343" t="str">
        <f>VLOOKUP($B221,'Standards Crosswalk'!$A1:$H321,7,FALSE)</f>
        <v/>
      </c>
      <c r="R221" s="198" t="str">
        <f>VLOOKUP($B221,'Standards Crosswalk'!$A1:$H321,8,FALSE)</f>
        <v/>
      </c>
      <c r="S221" s="198" t="str">
        <f>VLOOKUP($B221,'Standards Crosswalk'!$A1:$I321,9,FALSE)</f>
        <v/>
      </c>
      <c r="T221" s="181"/>
      <c r="U221" s="181"/>
      <c r="V221" s="181"/>
      <c r="W221" s="181"/>
      <c r="X221" s="181"/>
      <c r="Y221" s="181"/>
      <c r="Z221" s="6"/>
    </row>
    <row r="222" ht="72.0" customHeight="1">
      <c r="A222" s="334">
        <f t="shared" si="7"/>
        <v>220</v>
      </c>
      <c r="B222" s="335" t="s">
        <v>720</v>
      </c>
      <c r="C222" s="336" t="str">
        <f>VLOOKUP(B222,'HECVAT - Full'!A1:E312,2,FALSE)</f>
        <v>Do you comply with the requirements of the Health Information Technology for Economic and Clinical Health Act (HITECH)?</v>
      </c>
      <c r="D222" s="358" t="str">
        <f>VLOOKUP(B222,'HECVAT - Full'!A1:E312,4,FALSE)</f>
        <v/>
      </c>
      <c r="E222" s="337" t="b">
        <f t="shared" si="8"/>
        <v>1</v>
      </c>
      <c r="F222" s="357" t="s">
        <v>803</v>
      </c>
      <c r="G222" s="335" t="s">
        <v>90</v>
      </c>
      <c r="H222" s="338">
        <v>1.0</v>
      </c>
      <c r="I222" s="349" t="str">
        <f>VLOOKUP(B222,'HECVAT - Full'!A1:E312,3,FALSE)</f>
        <v/>
      </c>
      <c r="J222" s="181">
        <f t="shared" si="72"/>
        <v>0</v>
      </c>
      <c r="K222" s="181">
        <f t="shared" si="74"/>
        <v>25</v>
      </c>
      <c r="L222" s="181">
        <f t="shared" si="6"/>
        <v>0</v>
      </c>
      <c r="M222" s="198" t="str">
        <f>VLOOKUP($B222,'Standards Crosswalk'!$A1:$H321,3,FALSE)</f>
        <v>CSC 13</v>
      </c>
      <c r="N222" s="198" t="str">
        <f>VLOOKUP($B222,'Standards Crosswalk'!$A1:$H321,4,FALSE)</f>
        <v/>
      </c>
      <c r="O222" s="198" t="str">
        <f>VLOOKUP($B222,'Standards Crosswalk'!$A1:$H321,5,FALSE)</f>
        <v>18.1.1</v>
      </c>
      <c r="P222" s="198" t="str">
        <f>VLOOKUP($B222,'Standards Crosswalk'!$A1:$H321,6,FALSE)</f>
        <v>ID.GV-3</v>
      </c>
      <c r="Q222" s="343" t="str">
        <f>VLOOKUP($B222,'Standards Crosswalk'!$A1:$H321,7,FALSE)</f>
        <v/>
      </c>
      <c r="R222" s="198" t="str">
        <f>VLOOKUP($B222,'Standards Crosswalk'!$A1:$H321,8,FALSE)</f>
        <v/>
      </c>
      <c r="S222" s="198" t="str">
        <f>VLOOKUP($B222,'Standards Crosswalk'!$A1:$I321,9,FALSE)</f>
        <v/>
      </c>
      <c r="T222" s="181"/>
      <c r="U222" s="181"/>
      <c r="V222" s="181"/>
      <c r="W222" s="181"/>
      <c r="X222" s="181"/>
      <c r="Y222" s="181"/>
      <c r="Z222" s="6"/>
    </row>
    <row r="223" ht="57.75" customHeight="1">
      <c r="A223" s="334">
        <f t="shared" si="7"/>
        <v>221</v>
      </c>
      <c r="B223" s="335" t="s">
        <v>722</v>
      </c>
      <c r="C223" s="336" t="str">
        <f>VLOOKUP(B223,'HECVAT - Full'!A1:E312,2,FALSE)</f>
        <v>Do you have an incident response process and reporting in place to investigate any potential incidents and report actual incidents?</v>
      </c>
      <c r="D223" s="358" t="str">
        <f>VLOOKUP(B223,'HECVAT - Full'!A1:E312,4,FALSE)</f>
        <v/>
      </c>
      <c r="E223" s="337" t="b">
        <f t="shared" si="8"/>
        <v>0</v>
      </c>
      <c r="F223" s="357" t="s">
        <v>803</v>
      </c>
      <c r="G223" s="335" t="s">
        <v>90</v>
      </c>
      <c r="H223" s="338">
        <v>1.0</v>
      </c>
      <c r="I223" s="349" t="str">
        <f>VLOOKUP(B223,'HECVAT - Full'!A1:E312,3,FALSE)</f>
        <v/>
      </c>
      <c r="J223" s="181">
        <f t="shared" si="72"/>
        <v>0</v>
      </c>
      <c r="K223" s="181">
        <f>IF(H223=1,20,"")</f>
        <v>20</v>
      </c>
      <c r="L223" s="181">
        <f t="shared" si="6"/>
        <v>0</v>
      </c>
      <c r="M223" s="198" t="str">
        <f>VLOOKUP($B223,'Standards Crosswalk'!$A1:$H321,3,FALSE)</f>
        <v>CSC 19</v>
      </c>
      <c r="N223" s="198" t="str">
        <f>VLOOKUP($B223,'Standards Crosswalk'!$A1:$H321,4,FALSE)</f>
        <v>§164.308(a)(6)(i)</v>
      </c>
      <c r="O223" s="198" t="str">
        <f>VLOOKUP($B223,'Standards Crosswalk'!$A1:$H321,5,FALSE)</f>
        <v>16.1.1</v>
      </c>
      <c r="P223" s="198" t="str">
        <f>VLOOKUP($B223,'Standards Crosswalk'!$A1:$H321,6,FALSE)</f>
        <v>ID.GV-3</v>
      </c>
      <c r="Q223" s="198" t="str">
        <f>VLOOKUP($B223,'Standards Crosswalk'!$A1:$H321,7,FALSE)</f>
        <v>3.6.1, 3.14.1</v>
      </c>
      <c r="R223" s="198" t="str">
        <f>VLOOKUP($B223,'Standards Crosswalk'!$A1:$H321,8,FALSE)</f>
        <v>IR-2, IR-4, IR-5, IR-7</v>
      </c>
      <c r="S223" s="198" t="str">
        <f>VLOOKUP($B223,'Standards Crosswalk'!$A1:$I321,9,FALSE)</f>
        <v>12.10, 10.10</v>
      </c>
      <c r="T223" s="181"/>
      <c r="U223" s="181"/>
      <c r="V223" s="181"/>
      <c r="W223" s="181"/>
      <c r="X223" s="181"/>
      <c r="Y223" s="181"/>
      <c r="Z223" s="6"/>
    </row>
    <row r="224" ht="43.5" customHeight="1">
      <c r="A224" s="334">
        <f t="shared" si="7"/>
        <v>222</v>
      </c>
      <c r="B224" s="335" t="s">
        <v>724</v>
      </c>
      <c r="C224" s="336" t="str">
        <f>VLOOKUP(B224,'HECVAT - Full'!A1:E312,2,FALSE)</f>
        <v>Do you have a plan to comply with the Breach Notification requirements if there is a breach of data?</v>
      </c>
      <c r="D224" s="358" t="str">
        <f>VLOOKUP(B224,'HECVAT - Full'!A1:E312,4,FALSE)</f>
        <v/>
      </c>
      <c r="E224" s="337" t="b">
        <f t="shared" si="8"/>
        <v>1</v>
      </c>
      <c r="F224" s="357" t="s">
        <v>803</v>
      </c>
      <c r="G224" s="335" t="s">
        <v>90</v>
      </c>
      <c r="H224" s="338">
        <v>1.0</v>
      </c>
      <c r="I224" s="349" t="str">
        <f>VLOOKUP(B224,'HECVAT - Full'!A1:E312,3,FALSE)</f>
        <v/>
      </c>
      <c r="J224" s="181">
        <f t="shared" si="72"/>
        <v>0</v>
      </c>
      <c r="K224" s="181">
        <f t="shared" ref="K224:K225" si="75">IF(H224=1,25,"")</f>
        <v>25</v>
      </c>
      <c r="L224" s="181">
        <f t="shared" si="6"/>
        <v>0</v>
      </c>
      <c r="M224" s="198" t="str">
        <f>VLOOKUP($B224,'Standards Crosswalk'!$A1:$H321,3,FALSE)</f>
        <v>CSC 19</v>
      </c>
      <c r="N224" s="198" t="str">
        <f>VLOOKUP($B224,'Standards Crosswalk'!$A1:$H321,4,FALSE)</f>
        <v>§164.308(a)(6)(ii)</v>
      </c>
      <c r="O224" s="198" t="str">
        <f>VLOOKUP($B224,'Standards Crosswalk'!$A1:$H321,5,FALSE)</f>
        <v>16.1.2, 16.1.5, 18.1.1</v>
      </c>
      <c r="P224" s="198" t="str">
        <f>VLOOKUP($B224,'Standards Crosswalk'!$A1:$H321,6,FALSE)</f>
        <v>ID.GV-3</v>
      </c>
      <c r="Q224" s="198" t="str">
        <f>VLOOKUP($B224,'Standards Crosswalk'!$A1:$H321,7,FALSE)</f>
        <v>3.6.2, 3.12.2</v>
      </c>
      <c r="R224" s="198" t="str">
        <f>VLOOKUP($B224,'Standards Crosswalk'!$A1:$H321,8,FALSE)</f>
        <v>IR-6</v>
      </c>
      <c r="S224" s="343">
        <f>VLOOKUP($B224,'Standards Crosswalk'!$A1:$I321,9,FALSE)</f>
        <v>12.8</v>
      </c>
      <c r="T224" s="181"/>
      <c r="U224" s="181"/>
      <c r="V224" s="181"/>
      <c r="W224" s="181"/>
      <c r="X224" s="181"/>
      <c r="Y224" s="181"/>
      <c r="Z224" s="6"/>
    </row>
    <row r="225" ht="29.25" customHeight="1">
      <c r="A225" s="334">
        <f t="shared" si="7"/>
        <v>223</v>
      </c>
      <c r="B225" s="335" t="s">
        <v>726</v>
      </c>
      <c r="C225" s="336" t="str">
        <f>VLOOKUP(B225,'HECVAT - Full'!A1:E312,2,FALSE)</f>
        <v>Have you conducted a risk analysis as required under the Security Rule?</v>
      </c>
      <c r="D225" s="358" t="str">
        <f>VLOOKUP(B225,'HECVAT - Full'!A1:E312,4,FALSE)</f>
        <v/>
      </c>
      <c r="E225" s="337" t="b">
        <f t="shared" si="8"/>
        <v>1</v>
      </c>
      <c r="F225" s="357" t="s">
        <v>803</v>
      </c>
      <c r="G225" s="335" t="s">
        <v>90</v>
      </c>
      <c r="H225" s="338">
        <v>1.0</v>
      </c>
      <c r="I225" s="349" t="str">
        <f>VLOOKUP(B225,'HECVAT - Full'!A1:E312,3,FALSE)</f>
        <v/>
      </c>
      <c r="J225" s="181">
        <f t="shared" si="72"/>
        <v>0</v>
      </c>
      <c r="K225" s="181">
        <f t="shared" si="75"/>
        <v>25</v>
      </c>
      <c r="L225" s="181">
        <f t="shared" si="6"/>
        <v>0</v>
      </c>
      <c r="M225" s="198" t="str">
        <f>VLOOKUP($B225,'Standards Crosswalk'!$A1:$H321,3,FALSE)</f>
        <v>CSC 13</v>
      </c>
      <c r="N225" s="198" t="str">
        <f>VLOOKUP($B225,'Standards Crosswalk'!$A1:$H321,4,FALSE)</f>
        <v>§164.308(a)(1)(i)</v>
      </c>
      <c r="O225" s="198" t="str">
        <f>VLOOKUP($B225,'Standards Crosswalk'!$A1:$H321,5,FALSE)</f>
        <v/>
      </c>
      <c r="P225" s="198" t="str">
        <f>VLOOKUP($B225,'Standards Crosswalk'!$A1:$H321,6,FALSE)</f>
        <v>ID.GV-3</v>
      </c>
      <c r="Q225" s="343" t="str">
        <f>VLOOKUP($B225,'Standards Crosswalk'!$A1:$H321,7,FALSE)</f>
        <v/>
      </c>
      <c r="R225" s="198" t="str">
        <f>VLOOKUP($B225,'Standards Crosswalk'!$A1:$H321,8,FALSE)</f>
        <v/>
      </c>
      <c r="S225" s="343">
        <f>VLOOKUP($B225,'Standards Crosswalk'!$A1:$I321,9,FALSE)</f>
        <v>12.2</v>
      </c>
      <c r="T225" s="181"/>
      <c r="U225" s="181"/>
      <c r="V225" s="181"/>
      <c r="W225" s="181"/>
      <c r="X225" s="181"/>
      <c r="Y225" s="181"/>
      <c r="Z225" s="6"/>
    </row>
    <row r="226" ht="57.75" customHeight="1">
      <c r="A226" s="334">
        <f t="shared" si="7"/>
        <v>224</v>
      </c>
      <c r="B226" s="335" t="s">
        <v>728</v>
      </c>
      <c r="C226" s="336" t="str">
        <f>VLOOKUP(B226,'HECVAT - Full'!A1:E312,2,FALSE)</f>
        <v>Have you identified areas of risks?</v>
      </c>
      <c r="D226" s="358" t="str">
        <f>VLOOKUP(B226,'HECVAT - Full'!A1:E312,4,FALSE)</f>
        <v/>
      </c>
      <c r="E226" s="337" t="b">
        <f t="shared" si="8"/>
        <v>0</v>
      </c>
      <c r="F226" s="357" t="s">
        <v>803</v>
      </c>
      <c r="G226" s="335" t="s">
        <v>90</v>
      </c>
      <c r="H226" s="338">
        <v>1.0</v>
      </c>
      <c r="I226" s="349" t="str">
        <f>VLOOKUP(B226,'HECVAT - Full'!A1:E312,3,FALSE)</f>
        <v/>
      </c>
      <c r="J226" s="181">
        <f t="shared" si="72"/>
        <v>0</v>
      </c>
      <c r="K226" s="181">
        <f t="shared" ref="K226:K231" si="76">IF(H226=1,20,"")</f>
        <v>20</v>
      </c>
      <c r="L226" s="181">
        <f t="shared" si="6"/>
        <v>0</v>
      </c>
      <c r="M226" s="198" t="str">
        <f>VLOOKUP($B226,'Standards Crosswalk'!$A1:$H321,3,FALSE)</f>
        <v>CSC 4</v>
      </c>
      <c r="N226" s="198" t="str">
        <f>VLOOKUP($B226,'Standards Crosswalk'!$A1:$H321,4,FALSE)</f>
        <v>§164.308(a)(1)(i), §164.308(a)(1)(ii)(A)</v>
      </c>
      <c r="O226" s="198" t="str">
        <f>VLOOKUP($B226,'Standards Crosswalk'!$A1:$H321,5,FALSE)</f>
        <v/>
      </c>
      <c r="P226" s="198" t="str">
        <f>VLOOKUP($B226,'Standards Crosswalk'!$A1:$H321,6,FALSE)</f>
        <v>ID.GV-3</v>
      </c>
      <c r="Q226" s="343" t="str">
        <f>VLOOKUP($B226,'Standards Crosswalk'!$A1:$H321,7,FALSE)</f>
        <v/>
      </c>
      <c r="R226" s="198" t="str">
        <f>VLOOKUP($B226,'Standards Crosswalk'!$A1:$H321,8,FALSE)</f>
        <v/>
      </c>
      <c r="S226" s="343">
        <f>VLOOKUP($B226,'Standards Crosswalk'!$A1:$I321,9,FALSE)</f>
        <v>12.2</v>
      </c>
      <c r="T226" s="181"/>
      <c r="U226" s="181"/>
      <c r="V226" s="181"/>
      <c r="W226" s="181"/>
      <c r="X226" s="181"/>
      <c r="Y226" s="181"/>
      <c r="Z226" s="6"/>
    </row>
    <row r="227" ht="29.25" customHeight="1">
      <c r="A227" s="334">
        <f t="shared" si="7"/>
        <v>225</v>
      </c>
      <c r="B227" s="335" t="s">
        <v>730</v>
      </c>
      <c r="C227" s="336" t="str">
        <f>VLOOKUP(B227,'HECVAT - Full'!A1:E312,2,FALSE)</f>
        <v>Have you taken actions to mitigate the identified risks?</v>
      </c>
      <c r="D227" s="358" t="str">
        <f>VLOOKUP(B227,'HECVAT - Full'!A1:E312,4,FALSE)</f>
        <v/>
      </c>
      <c r="E227" s="337" t="b">
        <f t="shared" si="8"/>
        <v>0</v>
      </c>
      <c r="F227" s="357" t="s">
        <v>803</v>
      </c>
      <c r="G227" s="335" t="s">
        <v>90</v>
      </c>
      <c r="H227" s="338">
        <v>1.0</v>
      </c>
      <c r="I227" s="349" t="str">
        <f>VLOOKUP(B227,'HECVAT - Full'!A1:E312,3,FALSE)</f>
        <v/>
      </c>
      <c r="J227" s="181">
        <f t="shared" si="72"/>
        <v>0</v>
      </c>
      <c r="K227" s="181">
        <f t="shared" si="76"/>
        <v>20</v>
      </c>
      <c r="L227" s="181">
        <f t="shared" si="6"/>
        <v>0</v>
      </c>
      <c r="M227" s="198" t="str">
        <f>VLOOKUP($B227,'Standards Crosswalk'!$A1:$H321,3,FALSE)</f>
        <v>CSC 4</v>
      </c>
      <c r="N227" s="198" t="str">
        <f>VLOOKUP($B227,'Standards Crosswalk'!$A1:$H321,4,FALSE)</f>
        <v>§164.308(a)(1)(ii)(B)</v>
      </c>
      <c r="O227" s="198" t="str">
        <f>VLOOKUP($B227,'Standards Crosswalk'!$A1:$H321,5,FALSE)</f>
        <v/>
      </c>
      <c r="P227" s="198" t="str">
        <f>VLOOKUP($B227,'Standards Crosswalk'!$A1:$H321,6,FALSE)</f>
        <v>ID.GV-3</v>
      </c>
      <c r="Q227" s="343" t="str">
        <f>VLOOKUP($B227,'Standards Crosswalk'!$A1:$H321,7,FALSE)</f>
        <v/>
      </c>
      <c r="R227" s="198" t="str">
        <f>VLOOKUP($B227,'Standards Crosswalk'!$A1:$H321,8,FALSE)</f>
        <v/>
      </c>
      <c r="S227" s="343">
        <f>VLOOKUP($B227,'Standards Crosswalk'!$A1:$I321,9,FALSE)</f>
        <v>12.2</v>
      </c>
      <c r="T227" s="181"/>
      <c r="U227" s="181"/>
      <c r="V227" s="181"/>
      <c r="W227" s="181"/>
      <c r="X227" s="181"/>
      <c r="Y227" s="181"/>
      <c r="Z227" s="6"/>
    </row>
    <row r="228" ht="57.75" customHeight="1">
      <c r="A228" s="334">
        <f t="shared" si="7"/>
        <v>226</v>
      </c>
      <c r="B228" s="335" t="s">
        <v>732</v>
      </c>
      <c r="C228" s="336" t="str">
        <f>VLOOKUP(B228,'HECVAT - Full'!A1:E312,2,FALSE)</f>
        <v>Does your application require user and system administrator password changes at a frequency no greater than 90 days?</v>
      </c>
      <c r="D228" s="358" t="str">
        <f>VLOOKUP(B228,'HECVAT - Full'!A1:E312,4,FALSE)</f>
        <v/>
      </c>
      <c r="E228" s="337" t="b">
        <f t="shared" si="8"/>
        <v>0</v>
      </c>
      <c r="F228" s="357" t="s">
        <v>803</v>
      </c>
      <c r="G228" s="335" t="s">
        <v>90</v>
      </c>
      <c r="H228" s="338">
        <v>1.0</v>
      </c>
      <c r="I228" s="349" t="str">
        <f>VLOOKUP(B228,'HECVAT - Full'!A1:E312,3,FALSE)</f>
        <v/>
      </c>
      <c r="J228" s="181">
        <f t="shared" si="72"/>
        <v>0</v>
      </c>
      <c r="K228" s="181">
        <f t="shared" si="76"/>
        <v>20</v>
      </c>
      <c r="L228" s="181">
        <f t="shared" si="6"/>
        <v>0</v>
      </c>
      <c r="M228" s="198" t="str">
        <f>VLOOKUP($B228,'Standards Crosswalk'!$A1:$H321,3,FALSE)</f>
        <v>CSC 16</v>
      </c>
      <c r="N228" s="198" t="str">
        <f>VLOOKUP($B228,'Standards Crosswalk'!$A1:$H321,4,FALSE)</f>
        <v>§164.308(a)(5)(ii)(D)</v>
      </c>
      <c r="O228" s="198" t="str">
        <f>VLOOKUP($B228,'Standards Crosswalk'!$A1:$H321,5,FALSE)</f>
        <v>9.4.3</v>
      </c>
      <c r="P228" s="198" t="str">
        <f>VLOOKUP($B228,'Standards Crosswalk'!$A1:$H321,6,FALSE)</f>
        <v>ID.GV-3</v>
      </c>
      <c r="Q228" s="198" t="str">
        <f>VLOOKUP($B228,'Standards Crosswalk'!$A1:$H321,7,FALSE)</f>
        <v>3.5.6</v>
      </c>
      <c r="R228" s="198" t="str">
        <f>VLOOKUP($B228,'Standards Crosswalk'!$A1:$H321,8,FALSE)</f>
        <v>IA-4</v>
      </c>
      <c r="S228" s="198" t="str">
        <f>VLOOKUP($B228,'Standards Crosswalk'!$A1:$I321,9,FALSE)</f>
        <v/>
      </c>
      <c r="T228" s="181"/>
      <c r="U228" s="181"/>
      <c r="V228" s="181"/>
      <c r="W228" s="181"/>
      <c r="X228" s="181"/>
      <c r="Y228" s="181"/>
      <c r="Z228" s="6"/>
    </row>
    <row r="229" ht="57.75" customHeight="1">
      <c r="A229" s="334">
        <f t="shared" si="7"/>
        <v>227</v>
      </c>
      <c r="B229" s="335" t="s">
        <v>734</v>
      </c>
      <c r="C229" s="336" t="str">
        <f>VLOOKUP(B229,'HECVAT - Full'!A1:E312,2,FALSE)</f>
        <v>Does your application require a user to set their own password after an administrator reset or on first use of the account?</v>
      </c>
      <c r="D229" s="358" t="str">
        <f>VLOOKUP(B229,'HECVAT - Full'!A1:E312,4,FALSE)</f>
        <v/>
      </c>
      <c r="E229" s="337" t="b">
        <f t="shared" si="8"/>
        <v>0</v>
      </c>
      <c r="F229" s="357" t="s">
        <v>803</v>
      </c>
      <c r="G229" s="335" t="s">
        <v>90</v>
      </c>
      <c r="H229" s="338">
        <v>1.0</v>
      </c>
      <c r="I229" s="349" t="str">
        <f>VLOOKUP(B229,'HECVAT - Full'!A1:E312,3,FALSE)</f>
        <v/>
      </c>
      <c r="J229" s="181">
        <f t="shared" si="72"/>
        <v>0</v>
      </c>
      <c r="K229" s="181">
        <f t="shared" si="76"/>
        <v>20</v>
      </c>
      <c r="L229" s="181">
        <f t="shared" si="6"/>
        <v>0</v>
      </c>
      <c r="M229" s="198" t="str">
        <f>VLOOKUP($B229,'Standards Crosswalk'!$A1:$H321,3,FALSE)</f>
        <v>CSC 16</v>
      </c>
      <c r="N229" s="198" t="str">
        <f>VLOOKUP($B229,'Standards Crosswalk'!$A1:$H321,4,FALSE)</f>
        <v>§164.308(a)(5)(ii)(D)</v>
      </c>
      <c r="O229" s="198" t="str">
        <f>VLOOKUP($B229,'Standards Crosswalk'!$A1:$H321,5,FALSE)</f>
        <v>9.4.3</v>
      </c>
      <c r="P229" s="198" t="str">
        <f>VLOOKUP($B229,'Standards Crosswalk'!$A1:$H321,6,FALSE)</f>
        <v>ID.GV-3</v>
      </c>
      <c r="Q229" s="198" t="str">
        <f>VLOOKUP($B229,'Standards Crosswalk'!$A1:$H321,7,FALSE)</f>
        <v>3.5.9</v>
      </c>
      <c r="R229" s="198" t="str">
        <f>VLOOKUP($B229,'Standards Crosswalk'!$A1:$H321,8,FALSE)</f>
        <v>IA-5(1)</v>
      </c>
      <c r="S229" s="198" t="str">
        <f>VLOOKUP($B229,'Standards Crosswalk'!$A1:$I321,9,FALSE)</f>
        <v/>
      </c>
      <c r="T229" s="181"/>
      <c r="U229" s="181"/>
      <c r="V229" s="181"/>
      <c r="W229" s="181"/>
      <c r="X229" s="181"/>
      <c r="Y229" s="181"/>
      <c r="Z229" s="6"/>
    </row>
    <row r="230" ht="86.25" customHeight="1">
      <c r="A230" s="334">
        <f t="shared" si="7"/>
        <v>228</v>
      </c>
      <c r="B230" s="335" t="s">
        <v>736</v>
      </c>
      <c r="C230" s="336" t="str">
        <f>VLOOKUP(B230,'HECVAT - Full'!A1:E312,2,FALSE)</f>
        <v>Does your application lock-out an account after a number of failed login attempts? </v>
      </c>
      <c r="D230" s="358" t="str">
        <f>VLOOKUP(B230,'HECVAT - Full'!A1:E312,4,FALSE)</f>
        <v/>
      </c>
      <c r="E230" s="337" t="b">
        <f t="shared" si="8"/>
        <v>0</v>
      </c>
      <c r="F230" s="357" t="s">
        <v>803</v>
      </c>
      <c r="G230" s="335" t="s">
        <v>90</v>
      </c>
      <c r="H230" s="338">
        <v>1.0</v>
      </c>
      <c r="I230" s="349" t="str">
        <f>VLOOKUP(B230,'HECVAT - Full'!A1:E312,3,FALSE)</f>
        <v/>
      </c>
      <c r="J230" s="181">
        <f t="shared" si="72"/>
        <v>0</v>
      </c>
      <c r="K230" s="181">
        <f t="shared" si="76"/>
        <v>20</v>
      </c>
      <c r="L230" s="181">
        <f t="shared" si="6"/>
        <v>0</v>
      </c>
      <c r="M230" s="198" t="str">
        <f>VLOOKUP($B230,'Standards Crosswalk'!$A1:$H321,3,FALSE)</f>
        <v>CSC 16</v>
      </c>
      <c r="N230" s="198" t="str">
        <f>VLOOKUP($B230,'Standards Crosswalk'!$A1:$H321,4,FALSE)</f>
        <v>§164.308(a)(4), §164.312(a)(2)(ii),  
§164.312(a)(2)(iii)</v>
      </c>
      <c r="O230" s="198" t="str">
        <f>VLOOKUP($B230,'Standards Crosswalk'!$A1:$H321,5,FALSE)</f>
        <v>9.4.3</v>
      </c>
      <c r="P230" s="198" t="str">
        <f>VLOOKUP($B230,'Standards Crosswalk'!$A1:$H321,6,FALSE)</f>
        <v>ID.GV-3</v>
      </c>
      <c r="Q230" s="198" t="str">
        <f>VLOOKUP($B230,'Standards Crosswalk'!$A1:$H321,7,FALSE)</f>
        <v>3.1.8</v>
      </c>
      <c r="R230" s="198" t="str">
        <f>VLOOKUP($B230,'Standards Crosswalk'!$A1:$H321,8,FALSE)</f>
        <v>AC-7</v>
      </c>
      <c r="S230" s="198" t="str">
        <f>VLOOKUP($B230,'Standards Crosswalk'!$A1:$I321,9,FALSE)</f>
        <v/>
      </c>
      <c r="T230" s="181"/>
      <c r="U230" s="181"/>
      <c r="V230" s="181"/>
      <c r="W230" s="181"/>
      <c r="X230" s="181"/>
      <c r="Y230" s="181"/>
      <c r="Z230" s="6"/>
    </row>
    <row r="231" ht="86.25" customHeight="1">
      <c r="A231" s="334">
        <f t="shared" si="7"/>
        <v>229</v>
      </c>
      <c r="B231" s="335" t="s">
        <v>738</v>
      </c>
      <c r="C231" s="336" t="str">
        <f>VLOOKUP(B231,'HECVAT - Full'!A1:E312,2,FALSE)</f>
        <v>Does your application automatically lock or log-out an account after a period of inactivity?</v>
      </c>
      <c r="D231" s="358" t="str">
        <f>VLOOKUP(B231,'HECVAT - Full'!A1:E312,4,FALSE)</f>
        <v/>
      </c>
      <c r="E231" s="337" t="b">
        <f t="shared" si="8"/>
        <v>0</v>
      </c>
      <c r="F231" s="357" t="s">
        <v>803</v>
      </c>
      <c r="G231" s="335" t="s">
        <v>90</v>
      </c>
      <c r="H231" s="338">
        <v>1.0</v>
      </c>
      <c r="I231" s="349" t="str">
        <f>VLOOKUP(B231,'HECVAT - Full'!A1:E312,3,FALSE)</f>
        <v/>
      </c>
      <c r="J231" s="181">
        <f t="shared" si="72"/>
        <v>0</v>
      </c>
      <c r="K231" s="181">
        <f t="shared" si="76"/>
        <v>20</v>
      </c>
      <c r="L231" s="181">
        <f t="shared" si="6"/>
        <v>0</v>
      </c>
      <c r="M231" s="198" t="str">
        <f>VLOOKUP($B231,'Standards Crosswalk'!$A1:$H321,3,FALSE)</f>
        <v>CSC 16</v>
      </c>
      <c r="N231" s="198" t="str">
        <f>VLOOKUP($B231,'Standards Crosswalk'!$A1:$H321,4,FALSE)</f>
        <v>§164.308(a)(4),
§164.312(a)(2)(ii), §164.312(a)(2)(iii)</v>
      </c>
      <c r="O231" s="198" t="str">
        <f>VLOOKUP($B231,'Standards Crosswalk'!$A1:$H321,5,FALSE)</f>
        <v>9.4.3</v>
      </c>
      <c r="P231" s="198" t="str">
        <f>VLOOKUP($B231,'Standards Crosswalk'!$A1:$H321,6,FALSE)</f>
        <v>ID.GV-3</v>
      </c>
      <c r="Q231" s="198" t="str">
        <f>VLOOKUP($B231,'Standards Crosswalk'!$A1:$H321,7,FALSE)</f>
        <v>3.1.10, 3.1.11</v>
      </c>
      <c r="R231" s="198" t="str">
        <f>VLOOKUP($B231,'Standards Crosswalk'!$A1:$H321,8,FALSE)</f>
        <v>AC-11, AC-11(1), AC-12</v>
      </c>
      <c r="S231" s="198" t="str">
        <f>VLOOKUP($B231,'Standards Crosswalk'!$A1:$I321,9,FALSE)</f>
        <v>8.x</v>
      </c>
      <c r="T231" s="181"/>
      <c r="U231" s="181"/>
      <c r="V231" s="181"/>
      <c r="W231" s="181"/>
      <c r="X231" s="181"/>
      <c r="Y231" s="181"/>
      <c r="Z231" s="6"/>
    </row>
    <row r="232" ht="57.75" customHeight="1">
      <c r="A232" s="334">
        <f t="shared" si="7"/>
        <v>230</v>
      </c>
      <c r="B232" s="335" t="s">
        <v>740</v>
      </c>
      <c r="C232" s="336" t="str">
        <f>VLOOKUP(B232,'HECVAT - Full'!A1:E312,2,FALSE)</f>
        <v>Are passwords visible in plain text, whether when stored or entered, including service level accounts (i.e. database accounts, etc.)?</v>
      </c>
      <c r="D232" s="358" t="str">
        <f>VLOOKUP(B232,'HECVAT - Full'!A1:E312,4,FALSE)</f>
        <v/>
      </c>
      <c r="E232" s="337" t="b">
        <f t="shared" si="8"/>
        <v>1</v>
      </c>
      <c r="F232" s="357" t="s">
        <v>803</v>
      </c>
      <c r="G232" s="335" t="s">
        <v>85</v>
      </c>
      <c r="H232" s="338">
        <v>1.0</v>
      </c>
      <c r="I232" s="349" t="str">
        <f>VLOOKUP(B232,'HECVAT - Full'!A1:E312,3,FALSE)</f>
        <v/>
      </c>
      <c r="J232" s="181">
        <f t="shared" si="72"/>
        <v>0</v>
      </c>
      <c r="K232" s="181">
        <f>IF(H232=1,25,"")</f>
        <v>25</v>
      </c>
      <c r="L232" s="181">
        <f t="shared" si="6"/>
        <v>0</v>
      </c>
      <c r="M232" s="198" t="str">
        <f>VLOOKUP($B232,'Standards Crosswalk'!$A1:$H321,3,FALSE)</f>
        <v>CSC 16</v>
      </c>
      <c r="N232" s="198" t="str">
        <f>VLOOKUP($B232,'Standards Crosswalk'!$A1:$H321,4,FALSE)</f>
        <v>§164.308(a)(4), 
§164.312(d)</v>
      </c>
      <c r="O232" s="198" t="str">
        <f>VLOOKUP($B232,'Standards Crosswalk'!$A1:$H321,5,FALSE)</f>
        <v>9.4.3</v>
      </c>
      <c r="P232" s="198" t="str">
        <f>VLOOKUP($B232,'Standards Crosswalk'!$A1:$H321,6,FALSE)</f>
        <v>ID.GV-3</v>
      </c>
      <c r="Q232" s="198" t="str">
        <f>VLOOKUP($B232,'Standards Crosswalk'!$A1:$H321,7,FALSE)</f>
        <v>3.5.10</v>
      </c>
      <c r="R232" s="198" t="str">
        <f>VLOOKUP($B232,'Standards Crosswalk'!$A1:$H321,8,FALSE)</f>
        <v>IA-5(1)</v>
      </c>
      <c r="S232" s="198" t="str">
        <f>VLOOKUP($B232,'Standards Crosswalk'!$A1:$I321,9,FALSE)</f>
        <v>8.x</v>
      </c>
      <c r="T232" s="181"/>
      <c r="U232" s="181"/>
      <c r="V232" s="181"/>
      <c r="W232" s="181"/>
      <c r="X232" s="181"/>
      <c r="Y232" s="181"/>
      <c r="Z232" s="6"/>
    </row>
    <row r="233" ht="57.75" customHeight="1">
      <c r="A233" s="334">
        <f t="shared" si="7"/>
        <v>231</v>
      </c>
      <c r="B233" s="335" t="s">
        <v>742</v>
      </c>
      <c r="C233" s="336" t="str">
        <f>VLOOKUP(B233,'HECVAT - Full'!A1:E312,2,FALSE)</f>
        <v>If the application is institution-hosted, can all service level and administrative account passwords be changed by the institution?</v>
      </c>
      <c r="D233" s="358" t="str">
        <f>VLOOKUP(B233,'HECVAT - Full'!A1:E312,4,FALSE)</f>
        <v/>
      </c>
      <c r="E233" s="337" t="b">
        <f t="shared" si="8"/>
        <v>0</v>
      </c>
      <c r="F233" s="357" t="s">
        <v>803</v>
      </c>
      <c r="G233" s="335" t="s">
        <v>90</v>
      </c>
      <c r="H233" s="338">
        <v>1.0</v>
      </c>
      <c r="I233" s="349" t="str">
        <f>VLOOKUP(B233,'HECVAT - Full'!A1:E312,3,FALSE)</f>
        <v/>
      </c>
      <c r="J233" s="181">
        <f t="shared" si="72"/>
        <v>0</v>
      </c>
      <c r="K233" s="181">
        <f t="shared" ref="K233:K249" si="77">IF(H233=1,20,"")</f>
        <v>20</v>
      </c>
      <c r="L233" s="181">
        <f t="shared" si="6"/>
        <v>0</v>
      </c>
      <c r="M233" s="198" t="str">
        <f>VLOOKUP($B233,'Standards Crosswalk'!$A1:$H321,3,FALSE)</f>
        <v>CSC 16</v>
      </c>
      <c r="N233" s="198" t="str">
        <f>VLOOKUP($B233,'Standards Crosswalk'!$A1:$H321,4,FALSE)</f>
        <v>§164.308(a)(4), 
§164.312(d)</v>
      </c>
      <c r="O233" s="198" t="str">
        <f>VLOOKUP($B233,'Standards Crosswalk'!$A1:$H321,5,FALSE)</f>
        <v/>
      </c>
      <c r="P233" s="198" t="str">
        <f>VLOOKUP($B233,'Standards Crosswalk'!$A1:$H321,6,FALSE)</f>
        <v>ID.GV-3</v>
      </c>
      <c r="Q233" s="343" t="str">
        <f>VLOOKUP($B233,'Standards Crosswalk'!$A1:$H321,7,FALSE)</f>
        <v/>
      </c>
      <c r="R233" s="198" t="str">
        <f>VLOOKUP($B233,'Standards Crosswalk'!$A1:$H321,8,FALSE)</f>
        <v/>
      </c>
      <c r="S233" s="198" t="str">
        <f>VLOOKUP($B233,'Standards Crosswalk'!$A1:$I321,9,FALSE)</f>
        <v>8.x</v>
      </c>
      <c r="T233" s="181"/>
      <c r="U233" s="181"/>
      <c r="V233" s="181"/>
      <c r="W233" s="181"/>
      <c r="X233" s="181"/>
      <c r="Y233" s="181"/>
      <c r="Z233" s="6"/>
    </row>
    <row r="234" ht="100.5" customHeight="1">
      <c r="A234" s="334">
        <f t="shared" si="7"/>
        <v>232</v>
      </c>
      <c r="B234" s="335" t="s">
        <v>744</v>
      </c>
      <c r="C234" s="336" t="str">
        <f>VLOOKUP(B234,'HECVAT - Full'!A1:E312,2,FALSE)</f>
        <v>Does your application provide the ability to define user access levels?</v>
      </c>
      <c r="D234" s="358" t="str">
        <f>VLOOKUP(B234,'HECVAT - Full'!A1:E312,4,FALSE)</f>
        <v/>
      </c>
      <c r="E234" s="337" t="b">
        <f t="shared" si="8"/>
        <v>0</v>
      </c>
      <c r="F234" s="357" t="s">
        <v>803</v>
      </c>
      <c r="G234" s="335" t="s">
        <v>90</v>
      </c>
      <c r="H234" s="338">
        <v>1.0</v>
      </c>
      <c r="I234" s="349" t="str">
        <f>VLOOKUP(B234,'HECVAT - Full'!A1:E312,3,FALSE)</f>
        <v/>
      </c>
      <c r="J234" s="181">
        <f t="shared" si="72"/>
        <v>0</v>
      </c>
      <c r="K234" s="181">
        <f t="shared" si="77"/>
        <v>20</v>
      </c>
      <c r="L234" s="181">
        <f t="shared" si="6"/>
        <v>0</v>
      </c>
      <c r="M234" s="198" t="str">
        <f>VLOOKUP($B234,'Standards Crosswalk'!$A1:$H321,3,FALSE)</f>
        <v>CSC 16</v>
      </c>
      <c r="N234" s="198" t="str">
        <f>VLOOKUP($B234,'Standards Crosswalk'!$A1:$H321,4,FALSE)</f>
        <v>§164.308(a)(4), 
§164.312(a)(1), §164.312(a)(2)(i), 
§164.312(d)</v>
      </c>
      <c r="O234" s="198" t="str">
        <f>VLOOKUP($B234,'Standards Crosswalk'!$A1:$H321,5,FALSE)</f>
        <v/>
      </c>
      <c r="P234" s="198" t="str">
        <f>VLOOKUP($B234,'Standards Crosswalk'!$A1:$H321,6,FALSE)</f>
        <v>ID.GV-3</v>
      </c>
      <c r="Q234" s="198" t="str">
        <f>VLOOKUP($B234,'Standards Crosswalk'!$A1:$H321,7,FALSE)</f>
        <v>3.1.2</v>
      </c>
      <c r="R234" s="198" t="str">
        <f>VLOOKUP($B234,'Standards Crosswalk'!$A1:$H321,8,FALSE)</f>
        <v/>
      </c>
      <c r="S234" s="198" t="str">
        <f>VLOOKUP($B234,'Standards Crosswalk'!$A1:$I321,9,FALSE)</f>
        <v>8.x</v>
      </c>
      <c r="T234" s="181"/>
      <c r="U234" s="181"/>
      <c r="V234" s="181"/>
      <c r="W234" s="181"/>
      <c r="X234" s="181"/>
      <c r="Y234" s="181"/>
      <c r="Z234" s="6"/>
    </row>
    <row r="235" ht="100.5" customHeight="1">
      <c r="A235" s="334">
        <f t="shared" si="7"/>
        <v>233</v>
      </c>
      <c r="B235" s="335" t="s">
        <v>746</v>
      </c>
      <c r="C235" s="336" t="str">
        <f>VLOOKUP(B235,'HECVAT - Full'!A1:E312,2,FALSE)</f>
        <v>Does your application support varying levels of access to administrative tasks defined individually per user?</v>
      </c>
      <c r="D235" s="358" t="str">
        <f>VLOOKUP(B235,'HECVAT - Full'!A1:E312,4,FALSE)</f>
        <v/>
      </c>
      <c r="E235" s="337" t="b">
        <f t="shared" si="8"/>
        <v>0</v>
      </c>
      <c r="F235" s="357" t="s">
        <v>803</v>
      </c>
      <c r="G235" s="335" t="s">
        <v>90</v>
      </c>
      <c r="H235" s="338">
        <v>1.0</v>
      </c>
      <c r="I235" s="349" t="str">
        <f>VLOOKUP(B235,'HECVAT - Full'!A1:E312,3,FALSE)</f>
        <v/>
      </c>
      <c r="J235" s="181">
        <f t="shared" si="72"/>
        <v>0</v>
      </c>
      <c r="K235" s="181">
        <f t="shared" si="77"/>
        <v>20</v>
      </c>
      <c r="L235" s="181">
        <f t="shared" si="6"/>
        <v>0</v>
      </c>
      <c r="M235" s="198" t="str">
        <f>VLOOKUP($B235,'Standards Crosswalk'!$A1:$H321,3,FALSE)</f>
        <v>CSC 16, 5</v>
      </c>
      <c r="N235" s="198" t="str">
        <f>VLOOKUP($B235,'Standards Crosswalk'!$A1:$H321,4,FALSE)</f>
        <v>§164.308(a)(4),
§164.312(a)(1), §164.312(a)(2)(i), 
§164.312(d)</v>
      </c>
      <c r="O235" s="198" t="str">
        <f>VLOOKUP($B235,'Standards Crosswalk'!$A1:$H321,5,FALSE)</f>
        <v>9.1.1</v>
      </c>
      <c r="P235" s="198" t="str">
        <f>VLOOKUP($B235,'Standards Crosswalk'!$A1:$H321,6,FALSE)</f>
        <v>ID.GV-3</v>
      </c>
      <c r="Q235" s="198" t="str">
        <f>VLOOKUP($B235,'Standards Crosswalk'!$A1:$H321,7,FALSE)</f>
        <v>3.1.2, 3.1.5</v>
      </c>
      <c r="R235" s="198" t="str">
        <f>VLOOKUP($B235,'Standards Crosswalk'!$A1:$H321,8,FALSE)</f>
        <v/>
      </c>
      <c r="S235" s="198" t="str">
        <f>VLOOKUP($B235,'Standards Crosswalk'!$A1:$I321,9,FALSE)</f>
        <v>8.x</v>
      </c>
      <c r="T235" s="181"/>
      <c r="U235" s="181"/>
      <c r="V235" s="181"/>
      <c r="W235" s="181"/>
      <c r="X235" s="181"/>
      <c r="Y235" s="181"/>
      <c r="Z235" s="6"/>
    </row>
    <row r="236" ht="100.5" customHeight="1">
      <c r="A236" s="334">
        <f t="shared" si="7"/>
        <v>234</v>
      </c>
      <c r="B236" s="335" t="s">
        <v>748</v>
      </c>
      <c r="C236" s="336" t="str">
        <f>VLOOKUP(B236,'HECVAT - Full'!A1:E312,2,FALSE)</f>
        <v>Does your application support varying levels of access to records based on user ID?</v>
      </c>
      <c r="D236" s="358" t="str">
        <f>VLOOKUP(B236,'HECVAT - Full'!A1:E312,4,FALSE)</f>
        <v/>
      </c>
      <c r="E236" s="337" t="b">
        <f t="shared" si="8"/>
        <v>0</v>
      </c>
      <c r="F236" s="357" t="s">
        <v>803</v>
      </c>
      <c r="G236" s="335" t="s">
        <v>90</v>
      </c>
      <c r="H236" s="338">
        <v>1.0</v>
      </c>
      <c r="I236" s="349" t="str">
        <f>VLOOKUP(B236,'HECVAT - Full'!A1:E312,3,FALSE)</f>
        <v/>
      </c>
      <c r="J236" s="181">
        <f t="shared" si="72"/>
        <v>0</v>
      </c>
      <c r="K236" s="181">
        <f t="shared" si="77"/>
        <v>20</v>
      </c>
      <c r="L236" s="181">
        <f t="shared" si="6"/>
        <v>0</v>
      </c>
      <c r="M236" s="198" t="str">
        <f>VLOOKUP($B236,'Standards Crosswalk'!$A1:$H321,3,FALSE)</f>
        <v>CSC 16</v>
      </c>
      <c r="N236" s="198" t="str">
        <f>VLOOKUP($B236,'Standards Crosswalk'!$A1:$H321,4,FALSE)</f>
        <v>§164.308(a)(4), 
§164.312(a)(1), §164.312(a)(2)(i),
§164.312(d)</v>
      </c>
      <c r="O236" s="198" t="str">
        <f>VLOOKUP($B236,'Standards Crosswalk'!$A1:$H321,5,FALSE)</f>
        <v>9.2.3</v>
      </c>
      <c r="P236" s="198" t="str">
        <f>VLOOKUP($B236,'Standards Crosswalk'!$A1:$H321,6,FALSE)</f>
        <v>ID.GV-3</v>
      </c>
      <c r="Q236" s="198" t="str">
        <f>VLOOKUP($B236,'Standards Crosswalk'!$A1:$H321,7,FALSE)</f>
        <v>3.1.2</v>
      </c>
      <c r="R236" s="198" t="str">
        <f>VLOOKUP($B236,'Standards Crosswalk'!$A1:$H321,8,FALSE)</f>
        <v/>
      </c>
      <c r="S236" s="198" t="str">
        <f>VLOOKUP($B236,'Standards Crosswalk'!$A1:$I321,9,FALSE)</f>
        <v>8.x</v>
      </c>
      <c r="T236" s="181"/>
      <c r="U236" s="181"/>
      <c r="V236" s="181"/>
      <c r="W236" s="181"/>
      <c r="X236" s="181"/>
      <c r="Y236" s="181"/>
      <c r="Z236" s="6"/>
    </row>
    <row r="237" ht="57.75" customHeight="1">
      <c r="A237" s="334">
        <f t="shared" si="7"/>
        <v>235</v>
      </c>
      <c r="B237" s="335" t="s">
        <v>750</v>
      </c>
      <c r="C237" s="336" t="str">
        <f>VLOOKUP(B237,'HECVAT - Full'!A1:E312,2,FALSE)</f>
        <v>Is there a limit to the number of groups a user can be assigned?</v>
      </c>
      <c r="D237" s="358" t="str">
        <f>VLOOKUP(B237,'HECVAT - Full'!A1:E312,4,FALSE)</f>
        <v/>
      </c>
      <c r="E237" s="337" t="b">
        <f t="shared" si="8"/>
        <v>0</v>
      </c>
      <c r="F237" s="357" t="s">
        <v>803</v>
      </c>
      <c r="G237" s="335" t="s">
        <v>85</v>
      </c>
      <c r="H237" s="338">
        <v>1.0</v>
      </c>
      <c r="I237" s="349" t="str">
        <f>VLOOKUP(B237,'HECVAT - Full'!A1:E312,3,FALSE)</f>
        <v/>
      </c>
      <c r="J237" s="181">
        <f t="shared" si="72"/>
        <v>0</v>
      </c>
      <c r="K237" s="181">
        <f t="shared" si="77"/>
        <v>20</v>
      </c>
      <c r="L237" s="181">
        <f t="shared" si="6"/>
        <v>0</v>
      </c>
      <c r="M237" s="198" t="str">
        <f>VLOOKUP($B237,'Standards Crosswalk'!$A1:$H321,3,FALSE)</f>
        <v>CSC 16</v>
      </c>
      <c r="N237" s="198" t="str">
        <f>VLOOKUP($B237,'Standards Crosswalk'!$A1:$H321,4,FALSE)</f>
        <v>§164.308(a)(4), 
§164.312(a)(1)</v>
      </c>
      <c r="O237" s="198" t="str">
        <f>VLOOKUP($B237,'Standards Crosswalk'!$A1:$H321,5,FALSE)</f>
        <v>9.2.3</v>
      </c>
      <c r="P237" s="198" t="str">
        <f>VLOOKUP($B237,'Standards Crosswalk'!$A1:$H321,6,FALSE)</f>
        <v>ID.GV-3</v>
      </c>
      <c r="Q237" s="343" t="str">
        <f>VLOOKUP($B237,'Standards Crosswalk'!$A1:$H321,7,FALSE)</f>
        <v/>
      </c>
      <c r="R237" s="198" t="str">
        <f>VLOOKUP($B237,'Standards Crosswalk'!$A1:$H321,8,FALSE)</f>
        <v/>
      </c>
      <c r="S237" s="198" t="str">
        <f>VLOOKUP($B237,'Standards Crosswalk'!$A1:$I321,9,FALSE)</f>
        <v/>
      </c>
      <c r="T237" s="181"/>
      <c r="U237" s="181"/>
      <c r="V237" s="181"/>
      <c r="W237" s="181"/>
      <c r="X237" s="181"/>
      <c r="Y237" s="181"/>
      <c r="Z237" s="6"/>
    </row>
    <row r="238" ht="72.0" customHeight="1">
      <c r="A238" s="334">
        <f t="shared" si="7"/>
        <v>236</v>
      </c>
      <c r="B238" s="335" t="s">
        <v>752</v>
      </c>
      <c r="C238" s="336" t="str">
        <f>VLOOKUP(B238,'HECVAT - Full'!A1:E312,2,FALSE)</f>
        <v>Do accounts used for vendor supplied remote support abide by the same authentication policies and access logging as the rest of the system?</v>
      </c>
      <c r="D238" s="358" t="str">
        <f>VLOOKUP(B238,'HECVAT - Full'!A1:E312,4,FALSE)</f>
        <v/>
      </c>
      <c r="E238" s="337" t="b">
        <f t="shared" si="8"/>
        <v>0</v>
      </c>
      <c r="F238" s="357" t="s">
        <v>803</v>
      </c>
      <c r="G238" s="335" t="s">
        <v>90</v>
      </c>
      <c r="H238" s="338">
        <v>1.0</v>
      </c>
      <c r="I238" s="349" t="str">
        <f>VLOOKUP(B238,'HECVAT - Full'!A1:E312,3,FALSE)</f>
        <v/>
      </c>
      <c r="J238" s="181">
        <f t="shared" si="72"/>
        <v>0</v>
      </c>
      <c r="K238" s="181">
        <f t="shared" si="77"/>
        <v>20</v>
      </c>
      <c r="L238" s="181">
        <f t="shared" si="6"/>
        <v>0</v>
      </c>
      <c r="M238" s="198" t="str">
        <f>VLOOKUP($B238,'Standards Crosswalk'!$A1:$H321,3,FALSE)</f>
        <v>CSC 6, CSC 16</v>
      </c>
      <c r="N238" s="198" t="str">
        <f>VLOOKUP($B238,'Standards Crosswalk'!$A1:$H321,4,FALSE)</f>
        <v>§164.308(a)(4), 
§164.312(a)(1)</v>
      </c>
      <c r="O238" s="198" t="str">
        <f>VLOOKUP($B238,'Standards Crosswalk'!$A1:$H321,5,FALSE)</f>
        <v/>
      </c>
      <c r="P238" s="198" t="str">
        <f>VLOOKUP($B238,'Standards Crosswalk'!$A1:$H321,6,FALSE)</f>
        <v>ID.GV-3</v>
      </c>
      <c r="Q238" s="198" t="str">
        <f>VLOOKUP($B238,'Standards Crosswalk'!$A1:$H321,7,FALSE)</f>
        <v>3.3.1</v>
      </c>
      <c r="R238" s="198" t="str">
        <f>VLOOKUP($B238,'Standards Crosswalk'!$A1:$H321,8,FALSE)</f>
        <v>AU-2, AU-6, AU-12</v>
      </c>
      <c r="S238" s="198" t="str">
        <f>VLOOKUP($B238,'Standards Crosswalk'!$A1:$I321,9,FALSE)</f>
        <v>8.x</v>
      </c>
      <c r="T238" s="181"/>
      <c r="U238" s="181"/>
      <c r="V238" s="181"/>
      <c r="W238" s="181"/>
      <c r="X238" s="181"/>
      <c r="Y238" s="181"/>
      <c r="Z238" s="6"/>
    </row>
    <row r="239" ht="57.75" customHeight="1">
      <c r="A239" s="334">
        <f t="shared" si="7"/>
        <v>237</v>
      </c>
      <c r="B239" s="335" t="s">
        <v>754</v>
      </c>
      <c r="C239" s="336" t="str">
        <f>VLOOKUP(B239,'HECVAT - Full'!A1:E312,2,FALSE)</f>
        <v>Does the application log record access including specific user, date/time of access, and originating IP or device? </v>
      </c>
      <c r="D239" s="358" t="str">
        <f>VLOOKUP(B239,'HECVAT - Full'!A1:E312,4,FALSE)</f>
        <v/>
      </c>
      <c r="E239" s="337" t="b">
        <f t="shared" si="8"/>
        <v>0</v>
      </c>
      <c r="F239" s="357" t="s">
        <v>803</v>
      </c>
      <c r="G239" s="335" t="s">
        <v>90</v>
      </c>
      <c r="H239" s="338">
        <v>1.0</v>
      </c>
      <c r="I239" s="349" t="str">
        <f>VLOOKUP(B239,'HECVAT - Full'!A1:E312,3,FALSE)</f>
        <v/>
      </c>
      <c r="J239" s="181">
        <f t="shared" si="72"/>
        <v>0</v>
      </c>
      <c r="K239" s="181">
        <f t="shared" si="77"/>
        <v>20</v>
      </c>
      <c r="L239" s="181">
        <f t="shared" si="6"/>
        <v>0</v>
      </c>
      <c r="M239" s="198" t="str">
        <f>VLOOKUP($B239,'Standards Crosswalk'!$A1:$H321,3,FALSE)</f>
        <v>CSC 6</v>
      </c>
      <c r="N239" s="198" t="str">
        <f>VLOOKUP($B239,'Standards Crosswalk'!$A1:$H321,4,FALSE)</f>
        <v>§ 164.308(a)(1)(ii)(D)</v>
      </c>
      <c r="O239" s="198" t="str">
        <f>VLOOKUP($B239,'Standards Crosswalk'!$A1:$H321,5,FALSE)</f>
        <v>12.4.1</v>
      </c>
      <c r="P239" s="198" t="str">
        <f>VLOOKUP($B239,'Standards Crosswalk'!$A1:$H321,6,FALSE)</f>
        <v>ID.GV-3</v>
      </c>
      <c r="Q239" s="198" t="str">
        <f>VLOOKUP($B239,'Standards Crosswalk'!$A1:$H321,7,FALSE)</f>
        <v>3.3.2</v>
      </c>
      <c r="R239" s="198" t="str">
        <f>VLOOKUP($B239,'Standards Crosswalk'!$A1:$H321,8,FALSE)</f>
        <v>AU-3</v>
      </c>
      <c r="S239" s="343">
        <f>VLOOKUP($B239,'Standards Crosswalk'!$A1:$I321,9,FALSE)</f>
        <v>10.7</v>
      </c>
      <c r="T239" s="181"/>
      <c r="U239" s="181"/>
      <c r="V239" s="181"/>
      <c r="W239" s="181"/>
      <c r="X239" s="181"/>
      <c r="Y239" s="181"/>
      <c r="Z239" s="6"/>
    </row>
    <row r="240" ht="86.25" customHeight="1">
      <c r="A240" s="334">
        <f t="shared" si="7"/>
        <v>238</v>
      </c>
      <c r="B240" s="335" t="s">
        <v>756</v>
      </c>
      <c r="C240" s="336" t="str">
        <f>VLOOKUP(B240,'HECVAT - Full'!A1:E312,2,FALSE)</f>
        <v>Does the application log administrative activity, such user account access changes and password changes, including specific user, date/time of changes, and originating IP or device?</v>
      </c>
      <c r="D240" s="358" t="str">
        <f>VLOOKUP(B240,'HECVAT - Full'!A1:E312,4,FALSE)</f>
        <v/>
      </c>
      <c r="E240" s="337" t="b">
        <f t="shared" si="8"/>
        <v>0</v>
      </c>
      <c r="F240" s="357" t="s">
        <v>803</v>
      </c>
      <c r="G240" s="335" t="s">
        <v>90</v>
      </c>
      <c r="H240" s="338">
        <v>1.0</v>
      </c>
      <c r="I240" s="349" t="str">
        <f>VLOOKUP(B240,'HECVAT - Full'!A1:E312,3,FALSE)</f>
        <v/>
      </c>
      <c r="J240" s="181">
        <f t="shared" si="72"/>
        <v>0</v>
      </c>
      <c r="K240" s="181">
        <f t="shared" si="77"/>
        <v>20</v>
      </c>
      <c r="L240" s="181">
        <f t="shared" si="6"/>
        <v>0</v>
      </c>
      <c r="M240" s="198" t="str">
        <f>VLOOKUP($B240,'Standards Crosswalk'!$A1:$H321,3,FALSE)</f>
        <v>CSC 6</v>
      </c>
      <c r="N240" s="198" t="str">
        <f>VLOOKUP($B240,'Standards Crosswalk'!$A1:$H321,4,FALSE)</f>
        <v>§164.312(b)</v>
      </c>
      <c r="O240" s="198" t="str">
        <f>VLOOKUP($B240,'Standards Crosswalk'!$A1:$H321,5,FALSE)</f>
        <v>12.4.1</v>
      </c>
      <c r="P240" s="198" t="str">
        <f>VLOOKUP($B240,'Standards Crosswalk'!$A1:$H321,6,FALSE)</f>
        <v>ID.GV-3</v>
      </c>
      <c r="Q240" s="343" t="str">
        <f>VLOOKUP($B240,'Standards Crosswalk'!$A1:$H321,7,FALSE)</f>
        <v/>
      </c>
      <c r="R240" s="198" t="str">
        <f>VLOOKUP($B240,'Standards Crosswalk'!$A1:$H321,8,FALSE)</f>
        <v/>
      </c>
      <c r="S240" s="343">
        <f>VLOOKUP($B240,'Standards Crosswalk'!$A1:$I321,9,FALSE)</f>
        <v>10.7</v>
      </c>
      <c r="T240" s="181"/>
      <c r="U240" s="181"/>
      <c r="V240" s="181"/>
      <c r="W240" s="181"/>
      <c r="X240" s="181"/>
      <c r="Y240" s="181"/>
      <c r="Z240" s="6"/>
    </row>
    <row r="241" ht="29.25" customHeight="1">
      <c r="A241" s="334">
        <f t="shared" si="7"/>
        <v>239</v>
      </c>
      <c r="B241" s="335" t="s">
        <v>758</v>
      </c>
      <c r="C241" s="336" t="str">
        <f>VLOOKUP(B241,'HECVAT - Full'!A1:E312,2,FALSE)</f>
        <v>How long does the application keep access/change logs?</v>
      </c>
      <c r="D241" s="334" t="str">
        <f>VLOOKUP(B241,'HECVAT - Full'!A1:E312,4,FALSE)</f>
        <v/>
      </c>
      <c r="E241" s="337" t="b">
        <f t="shared" si="8"/>
        <v>0</v>
      </c>
      <c r="F241" s="357" t="s">
        <v>803</v>
      </c>
      <c r="G241" s="335" t="s">
        <v>90</v>
      </c>
      <c r="H241" s="338">
        <v>1.0</v>
      </c>
      <c r="I241" s="349" t="str">
        <f>VLOOKUP(B241,'HECVAT - Full'!A1:E312,3,FALSE)</f>
        <v/>
      </c>
      <c r="J241" s="181">
        <f>IF(VLOOKUP(B241,'Analyst Report'!$A$41:$G$88,7,FALSE)="Yes",1,0)</f>
        <v>0</v>
      </c>
      <c r="K241" s="181">
        <f t="shared" si="77"/>
        <v>20</v>
      </c>
      <c r="L241" s="181">
        <f t="shared" si="6"/>
        <v>0</v>
      </c>
      <c r="M241" s="198" t="str">
        <f>VLOOKUP($B241,'Standards Crosswalk'!$A1:$H321,3,FALSE)</f>
        <v>CSC 6</v>
      </c>
      <c r="N241" s="198" t="str">
        <f>VLOOKUP($B241,'Standards Crosswalk'!$A1:$H321,4,FALSE)</f>
        <v>§164.312(b)</v>
      </c>
      <c r="O241" s="198" t="str">
        <f>VLOOKUP($B241,'Standards Crosswalk'!$A1:$H321,5,FALSE)</f>
        <v>12.4.1</v>
      </c>
      <c r="P241" s="198" t="str">
        <f>VLOOKUP($B241,'Standards Crosswalk'!$A1:$H321,6,FALSE)</f>
        <v>ID.GV-3</v>
      </c>
      <c r="Q241" s="343" t="str">
        <f>VLOOKUP($B241,'Standards Crosswalk'!$A1:$H321,7,FALSE)</f>
        <v/>
      </c>
      <c r="R241" s="198" t="str">
        <f>VLOOKUP($B241,'Standards Crosswalk'!$A1:$H321,8,FALSE)</f>
        <v/>
      </c>
      <c r="S241" s="343">
        <f>VLOOKUP($B241,'Standards Crosswalk'!$A1:$I321,9,FALSE)</f>
        <v>10.7</v>
      </c>
      <c r="T241" s="181"/>
      <c r="U241" s="181"/>
      <c r="V241" s="181"/>
      <c r="W241" s="181"/>
      <c r="X241" s="181"/>
      <c r="Y241" s="181"/>
      <c r="Z241" s="6"/>
    </row>
    <row r="242" ht="29.25" customHeight="1">
      <c r="A242" s="334">
        <f t="shared" si="7"/>
        <v>240</v>
      </c>
      <c r="B242" s="335" t="s">
        <v>760</v>
      </c>
      <c r="C242" s="336" t="str">
        <f>VLOOKUP(B242,'HECVAT - Full'!A1:E312,2,FALSE)</f>
        <v>Can the application logs be archived? </v>
      </c>
      <c r="D242" s="358" t="str">
        <f>VLOOKUP(B242,'HECVAT - Full'!A1:E312,4,FALSE)</f>
        <v/>
      </c>
      <c r="E242" s="337" t="b">
        <f t="shared" si="8"/>
        <v>0</v>
      </c>
      <c r="F242" s="357" t="s">
        <v>803</v>
      </c>
      <c r="G242" s="335" t="s">
        <v>90</v>
      </c>
      <c r="H242" s="338">
        <v>1.0</v>
      </c>
      <c r="I242" s="349" t="str">
        <f>VLOOKUP(B242,'HECVAT - Full'!A1:E312,3,FALSE)</f>
        <v/>
      </c>
      <c r="J242" s="181">
        <f t="shared" ref="J242:J254" si="78">IF(G242=I242,1,0)</f>
        <v>0</v>
      </c>
      <c r="K242" s="181">
        <f t="shared" si="77"/>
        <v>20</v>
      </c>
      <c r="L242" s="181">
        <f t="shared" si="6"/>
        <v>0</v>
      </c>
      <c r="M242" s="198" t="str">
        <f>VLOOKUP($B242,'Standards Crosswalk'!$A1:$H321,3,FALSE)</f>
        <v>CSC 6</v>
      </c>
      <c r="N242" s="198" t="str">
        <f>VLOOKUP($B242,'Standards Crosswalk'!$A1:$H321,4,FALSE)</f>
        <v>§164.312(b)</v>
      </c>
      <c r="O242" s="198" t="str">
        <f>VLOOKUP($B242,'Standards Crosswalk'!$A1:$H321,5,FALSE)</f>
        <v>12.4.1</v>
      </c>
      <c r="P242" s="198" t="str">
        <f>VLOOKUP($B242,'Standards Crosswalk'!$A1:$H321,6,FALSE)</f>
        <v>ID.GV-3</v>
      </c>
      <c r="Q242" s="343" t="str">
        <f>VLOOKUP($B242,'Standards Crosswalk'!$A1:$H321,7,FALSE)</f>
        <v/>
      </c>
      <c r="R242" s="198" t="str">
        <f>VLOOKUP($B242,'Standards Crosswalk'!$A1:$H321,8,FALSE)</f>
        <v/>
      </c>
      <c r="S242" s="343">
        <f>VLOOKUP($B242,'Standards Crosswalk'!$A1:$I321,9,FALSE)</f>
        <v>10.7</v>
      </c>
      <c r="T242" s="181"/>
      <c r="U242" s="181"/>
      <c r="V242" s="181"/>
      <c r="W242" s="181"/>
      <c r="X242" s="181"/>
      <c r="Y242" s="181"/>
      <c r="Z242" s="6"/>
    </row>
    <row r="243" ht="29.25" customHeight="1">
      <c r="A243" s="334">
        <f t="shared" si="7"/>
        <v>241</v>
      </c>
      <c r="B243" s="335" t="s">
        <v>762</v>
      </c>
      <c r="C243" s="336" t="str">
        <f>VLOOKUP(B243,'HECVAT - Full'!A1:E312,2,FALSE)</f>
        <v>Can the application logs be saved externally? </v>
      </c>
      <c r="D243" s="358" t="str">
        <f>VLOOKUP(B243,'HECVAT - Full'!A1:E312,4,FALSE)</f>
        <v/>
      </c>
      <c r="E243" s="337" t="b">
        <f t="shared" si="8"/>
        <v>0</v>
      </c>
      <c r="F243" s="357" t="s">
        <v>803</v>
      </c>
      <c r="G243" s="335" t="s">
        <v>90</v>
      </c>
      <c r="H243" s="338">
        <v>1.0</v>
      </c>
      <c r="I243" s="349" t="str">
        <f>VLOOKUP(B243,'HECVAT - Full'!A1:E312,3,FALSE)</f>
        <v/>
      </c>
      <c r="J243" s="181">
        <f t="shared" si="78"/>
        <v>0</v>
      </c>
      <c r="K243" s="181">
        <f t="shared" si="77"/>
        <v>20</v>
      </c>
      <c r="L243" s="181">
        <f t="shared" si="6"/>
        <v>0</v>
      </c>
      <c r="M243" s="198" t="str">
        <f>VLOOKUP($B243,'Standards Crosswalk'!$A1:$H321,3,FALSE)</f>
        <v>CSC 6</v>
      </c>
      <c r="N243" s="198" t="str">
        <f>VLOOKUP($B243,'Standards Crosswalk'!$A1:$H321,4,FALSE)</f>
        <v>§164.312(b)</v>
      </c>
      <c r="O243" s="198" t="str">
        <f>VLOOKUP($B243,'Standards Crosswalk'!$A1:$H321,5,FALSE)</f>
        <v>12.4.1</v>
      </c>
      <c r="P243" s="198" t="str">
        <f>VLOOKUP($B243,'Standards Crosswalk'!$A1:$H321,6,FALSE)</f>
        <v>ID.GV-3</v>
      </c>
      <c r="Q243" s="343" t="str">
        <f>VLOOKUP($B243,'Standards Crosswalk'!$A1:$H321,7,FALSE)</f>
        <v/>
      </c>
      <c r="R243" s="198" t="str">
        <f>VLOOKUP($B243,'Standards Crosswalk'!$A1:$H321,8,FALSE)</f>
        <v/>
      </c>
      <c r="S243" s="343">
        <f>VLOOKUP($B243,'Standards Crosswalk'!$A1:$I321,9,FALSE)</f>
        <v>10.7</v>
      </c>
      <c r="T243" s="181"/>
      <c r="U243" s="181"/>
      <c r="V243" s="181"/>
      <c r="W243" s="181"/>
      <c r="X243" s="181"/>
      <c r="Y243" s="181"/>
      <c r="Z243" s="6"/>
    </row>
    <row r="244" ht="43.5" customHeight="1">
      <c r="A244" s="334">
        <f t="shared" si="7"/>
        <v>242</v>
      </c>
      <c r="B244" s="335" t="s">
        <v>764</v>
      </c>
      <c r="C244" s="336" t="str">
        <f>VLOOKUP(B244,'HECVAT - Full'!A1:E312,2,FALSE)</f>
        <v>Does your data backup and retention policies and practices meet HIPAA requirements?</v>
      </c>
      <c r="D244" s="358" t="str">
        <f>VLOOKUP(B244,'HECVAT - Full'!A1:E312,4,FALSE)</f>
        <v/>
      </c>
      <c r="E244" s="337" t="b">
        <f t="shared" si="8"/>
        <v>0</v>
      </c>
      <c r="F244" s="357" t="s">
        <v>803</v>
      </c>
      <c r="G244" s="335" t="s">
        <v>90</v>
      </c>
      <c r="H244" s="338">
        <v>1.0</v>
      </c>
      <c r="I244" s="349" t="str">
        <f>VLOOKUP(B244,'HECVAT - Full'!A1:E312,3,FALSE)</f>
        <v/>
      </c>
      <c r="J244" s="181">
        <f t="shared" si="78"/>
        <v>0</v>
      </c>
      <c r="K244" s="181">
        <f t="shared" si="77"/>
        <v>20</v>
      </c>
      <c r="L244" s="181">
        <f t="shared" si="6"/>
        <v>0</v>
      </c>
      <c r="M244" s="198" t="str">
        <f>VLOOKUP($B244,'Standards Crosswalk'!$A1:$H321,3,FALSE)</f>
        <v>CSC 10</v>
      </c>
      <c r="N244" s="198" t="str">
        <f>VLOOKUP($B244,'Standards Crosswalk'!$A1:$H321,4,FALSE)</f>
        <v>§164.312(a)(2)(ii)</v>
      </c>
      <c r="O244" s="198" t="str">
        <f>VLOOKUP($B244,'Standards Crosswalk'!$A1:$H321,5,FALSE)</f>
        <v>18.1.1</v>
      </c>
      <c r="P244" s="198" t="str">
        <f>VLOOKUP($B244,'Standards Crosswalk'!$A1:$H321,6,FALSE)</f>
        <v>ID.GV-3</v>
      </c>
      <c r="Q244" s="343" t="str">
        <f>VLOOKUP($B244,'Standards Crosswalk'!$A1:$H321,7,FALSE)</f>
        <v/>
      </c>
      <c r="R244" s="198" t="str">
        <f>VLOOKUP($B244,'Standards Crosswalk'!$A1:$H321,8,FALSE)</f>
        <v/>
      </c>
      <c r="S244" s="343">
        <f>VLOOKUP($B244,'Standards Crosswalk'!$A1:$I321,9,FALSE)</f>
        <v>10.7</v>
      </c>
      <c r="T244" s="181"/>
      <c r="U244" s="181"/>
      <c r="V244" s="181"/>
      <c r="W244" s="181"/>
      <c r="X244" s="181"/>
      <c r="Y244" s="181"/>
      <c r="Z244" s="6"/>
    </row>
    <row r="245" ht="43.5" customHeight="1">
      <c r="A245" s="334">
        <f t="shared" si="7"/>
        <v>243</v>
      </c>
      <c r="B245" s="335" t="s">
        <v>766</v>
      </c>
      <c r="C245" s="336" t="str">
        <f>VLOOKUP(B245,'HECVAT - Full'!A1:E312,2,FALSE)</f>
        <v>Do you have a disaster recovery plan and emergency mode operation plan?</v>
      </c>
      <c r="D245" s="358" t="str">
        <f>VLOOKUP(B245,'HECVAT - Full'!A1:E312,4,FALSE)</f>
        <v/>
      </c>
      <c r="E245" s="337" t="b">
        <f t="shared" si="8"/>
        <v>0</v>
      </c>
      <c r="F245" s="357" t="s">
        <v>803</v>
      </c>
      <c r="G245" s="335" t="s">
        <v>90</v>
      </c>
      <c r="H245" s="338">
        <v>1.0</v>
      </c>
      <c r="I245" s="349" t="str">
        <f>VLOOKUP(B245,'HECVAT - Full'!A1:E312,3,FALSE)</f>
        <v/>
      </c>
      <c r="J245" s="181">
        <f t="shared" si="78"/>
        <v>0</v>
      </c>
      <c r="K245" s="181">
        <f t="shared" si="77"/>
        <v>20</v>
      </c>
      <c r="L245" s="181">
        <f t="shared" si="6"/>
        <v>0</v>
      </c>
      <c r="M245" s="198" t="str">
        <f>VLOOKUP($B245,'Standards Crosswalk'!$A1:$H321,3,FALSE)</f>
        <v>CSC 10</v>
      </c>
      <c r="N245" s="198" t="str">
        <f>VLOOKUP($B245,'Standards Crosswalk'!$A1:$H321,4,FALSE)</f>
        <v>§164.308(a)(7)(i)</v>
      </c>
      <c r="O245" s="198" t="str">
        <f>VLOOKUP($B245,'Standards Crosswalk'!$A1:$H321,5,FALSE)</f>
        <v>17.1.1</v>
      </c>
      <c r="P245" s="198" t="str">
        <f>VLOOKUP($B245,'Standards Crosswalk'!$A1:$H321,6,FALSE)</f>
        <v>ID.GV-3</v>
      </c>
      <c r="Q245" s="198" t="str">
        <f>VLOOKUP($B245,'Standards Crosswalk'!$A1:$H321,7,FALSE)</f>
        <v>3.12.2</v>
      </c>
      <c r="R245" s="198" t="str">
        <f>VLOOKUP($B245,'Standards Crosswalk'!$A1:$H321,8,FALSE)</f>
        <v/>
      </c>
      <c r="S245" s="343">
        <f>VLOOKUP($B245,'Standards Crosswalk'!$A1:$I321,9,FALSE)</f>
        <v>12.1</v>
      </c>
      <c r="T245" s="181"/>
      <c r="U245" s="181"/>
      <c r="V245" s="181"/>
      <c r="W245" s="181"/>
      <c r="X245" s="181"/>
      <c r="Y245" s="181"/>
      <c r="Z245" s="6"/>
    </row>
    <row r="246" ht="29.25" customHeight="1">
      <c r="A246" s="334">
        <f t="shared" si="7"/>
        <v>244</v>
      </c>
      <c r="B246" s="335" t="s">
        <v>768</v>
      </c>
      <c r="C246" s="336" t="str">
        <f>VLOOKUP(B246,'HECVAT - Full'!A1:E312,2,FALSE)</f>
        <v>Have the policies/plans mentioned above been tested?</v>
      </c>
      <c r="D246" s="358" t="str">
        <f>VLOOKUP(B246,'HECVAT - Full'!A1:E312,4,FALSE)</f>
        <v/>
      </c>
      <c r="E246" s="337" t="b">
        <f t="shared" si="8"/>
        <v>0</v>
      </c>
      <c r="F246" s="357" t="s">
        <v>803</v>
      </c>
      <c r="G246" s="335" t="s">
        <v>90</v>
      </c>
      <c r="H246" s="338">
        <v>1.0</v>
      </c>
      <c r="I246" s="349" t="str">
        <f>VLOOKUP(B246,'HECVAT - Full'!A1:E312,3,FALSE)</f>
        <v/>
      </c>
      <c r="J246" s="181">
        <f t="shared" si="78"/>
        <v>0</v>
      </c>
      <c r="K246" s="181">
        <f t="shared" si="77"/>
        <v>20</v>
      </c>
      <c r="L246" s="181">
        <f t="shared" si="6"/>
        <v>0</v>
      </c>
      <c r="M246" s="198" t="str">
        <f>VLOOKUP($B246,'Standards Crosswalk'!$A1:$H321,3,FALSE)</f>
        <v>CSC 10</v>
      </c>
      <c r="N246" s="198" t="str">
        <f>VLOOKUP($B246,'Standards Crosswalk'!$A1:$H321,4,FALSE)</f>
        <v>§164.308(a)(7)(i)</v>
      </c>
      <c r="O246" s="198" t="str">
        <f>VLOOKUP($B246,'Standards Crosswalk'!$A1:$H321,5,FALSE)</f>
        <v>17.1.3</v>
      </c>
      <c r="P246" s="198" t="str">
        <f>VLOOKUP($B246,'Standards Crosswalk'!$A1:$H321,6,FALSE)</f>
        <v>ID.GV-3</v>
      </c>
      <c r="Q246" s="198" t="str">
        <f>VLOOKUP($B246,'Standards Crosswalk'!$A1:$H321,7,FALSE)</f>
        <v>3.6.3, 3.12.2</v>
      </c>
      <c r="R246" s="198" t="str">
        <f>VLOOKUP($B246,'Standards Crosswalk'!$A1:$H321,8,FALSE)</f>
        <v/>
      </c>
      <c r="S246" s="343">
        <f>VLOOKUP($B246,'Standards Crosswalk'!$A1:$I321,9,FALSE)</f>
        <v>12.1</v>
      </c>
      <c r="T246" s="181"/>
      <c r="U246" s="181"/>
      <c r="V246" s="181"/>
      <c r="W246" s="181"/>
      <c r="X246" s="181"/>
      <c r="Y246" s="181"/>
      <c r="Z246" s="6"/>
    </row>
    <row r="247" ht="29.25" customHeight="1">
      <c r="A247" s="334">
        <f t="shared" si="7"/>
        <v>245</v>
      </c>
      <c r="B247" s="335" t="s">
        <v>770</v>
      </c>
      <c r="C247" s="336" t="str">
        <f>VLOOKUP(B247,'HECVAT - Full'!A1:E312,2,FALSE)</f>
        <v>Can you provide a HIPAA compliance attestation document?</v>
      </c>
      <c r="D247" s="358" t="str">
        <f>VLOOKUP(B247,'HECVAT - Full'!A1:E312,4,FALSE)</f>
        <v/>
      </c>
      <c r="E247" s="337" t="b">
        <f t="shared" si="8"/>
        <v>0</v>
      </c>
      <c r="F247" s="357" t="s">
        <v>803</v>
      </c>
      <c r="G247" s="335" t="s">
        <v>90</v>
      </c>
      <c r="H247" s="338">
        <v>1.0</v>
      </c>
      <c r="I247" s="349" t="str">
        <f>VLOOKUP(B247,'HECVAT - Full'!A1:E312,3,FALSE)</f>
        <v/>
      </c>
      <c r="J247" s="181">
        <f t="shared" si="78"/>
        <v>0</v>
      </c>
      <c r="K247" s="181">
        <f t="shared" si="77"/>
        <v>20</v>
      </c>
      <c r="L247" s="181">
        <f t="shared" si="6"/>
        <v>0</v>
      </c>
      <c r="M247" s="198" t="str">
        <f>VLOOKUP($B247,'Standards Crosswalk'!$A1:$H321,3,FALSE)</f>
        <v>CSC 10</v>
      </c>
      <c r="N247" s="198" t="str">
        <f>VLOOKUP($B247,'Standards Crosswalk'!$A1:$H321,4,FALSE)</f>
        <v>§164.308(b)(2)</v>
      </c>
      <c r="O247" s="198" t="str">
        <f>VLOOKUP($B247,'Standards Crosswalk'!$A1:$H321,5,FALSE)</f>
        <v>18.1.1</v>
      </c>
      <c r="P247" s="198" t="str">
        <f>VLOOKUP($B247,'Standards Crosswalk'!$A1:$H321,6,FALSE)</f>
        <v>ID.GV-3</v>
      </c>
      <c r="Q247" s="343" t="str">
        <f>VLOOKUP($B247,'Standards Crosswalk'!$A1:$H321,7,FALSE)</f>
        <v/>
      </c>
      <c r="R247" s="198" t="str">
        <f>VLOOKUP($B247,'Standards Crosswalk'!$A1:$H321,8,FALSE)</f>
        <v/>
      </c>
      <c r="S247" s="343">
        <f>VLOOKUP($B247,'Standards Crosswalk'!$A1:$I321,9,FALSE)</f>
        <v>10.7</v>
      </c>
      <c r="T247" s="181"/>
      <c r="U247" s="181"/>
      <c r="V247" s="181"/>
      <c r="W247" s="181"/>
      <c r="X247" s="181"/>
      <c r="Y247" s="181"/>
      <c r="Z247" s="6"/>
    </row>
    <row r="248" ht="86.25" customHeight="1">
      <c r="A248" s="334">
        <f t="shared" si="7"/>
        <v>246</v>
      </c>
      <c r="B248" s="335" t="s">
        <v>772</v>
      </c>
      <c r="C248" s="336" t="str">
        <f>VLOOKUP(B248,'HECVAT - Full'!A1:E312,2,FALSE)</f>
        <v>Are you willing to enter into a Business Associate Agreement (BAA)?</v>
      </c>
      <c r="D248" s="358" t="str">
        <f>VLOOKUP(B248,'HECVAT - Full'!A1:E312,4,FALSE)</f>
        <v/>
      </c>
      <c r="E248" s="337" t="b">
        <f t="shared" si="8"/>
        <v>0</v>
      </c>
      <c r="F248" s="357" t="s">
        <v>803</v>
      </c>
      <c r="G248" s="335" t="s">
        <v>90</v>
      </c>
      <c r="H248" s="338">
        <v>1.0</v>
      </c>
      <c r="I248" s="349" t="str">
        <f>VLOOKUP(B248,'HECVAT - Full'!A1:E312,3,FALSE)</f>
        <v/>
      </c>
      <c r="J248" s="181">
        <f t="shared" si="78"/>
        <v>0</v>
      </c>
      <c r="K248" s="181">
        <f t="shared" si="77"/>
        <v>20</v>
      </c>
      <c r="L248" s="181">
        <f t="shared" si="6"/>
        <v>0</v>
      </c>
      <c r="M248" s="198" t="str">
        <f>VLOOKUP($B248,'Standards Crosswalk'!$A1:$H321,3,FALSE)</f>
        <v>CSC 10</v>
      </c>
      <c r="N248" s="198" t="str">
        <f>VLOOKUP($B248,'Standards Crosswalk'!$A1:$H321,4,FALSE)</f>
        <v>§164.308(b)(1),
§164.308(b)(3), §164.314(a)(1)(i)</v>
      </c>
      <c r="O248" s="198" t="str">
        <f>VLOOKUP($B248,'Standards Crosswalk'!$A1:$H321,5,FALSE)</f>
        <v>18.1.1</v>
      </c>
      <c r="P248" s="198" t="str">
        <f>VLOOKUP($B248,'Standards Crosswalk'!$A1:$H321,6,FALSE)</f>
        <v>ID.GV-3</v>
      </c>
      <c r="Q248" s="343" t="str">
        <f>VLOOKUP($B248,'Standards Crosswalk'!$A1:$H321,7,FALSE)</f>
        <v/>
      </c>
      <c r="R248" s="198" t="str">
        <f>VLOOKUP($B248,'Standards Crosswalk'!$A1:$H321,8,FALSE)</f>
        <v/>
      </c>
      <c r="S248" s="198" t="str">
        <f>VLOOKUP($B248,'Standards Crosswalk'!$A1:$I321,9,FALSE)</f>
        <v/>
      </c>
      <c r="T248" s="181"/>
      <c r="U248" s="181"/>
      <c r="V248" s="181"/>
      <c r="W248" s="181"/>
      <c r="X248" s="181"/>
      <c r="Y248" s="181"/>
      <c r="Z248" s="6"/>
    </row>
    <row r="249" ht="114.75" customHeight="1">
      <c r="A249" s="334">
        <f t="shared" si="7"/>
        <v>247</v>
      </c>
      <c r="B249" s="335" t="s">
        <v>774</v>
      </c>
      <c r="C249" s="336" t="str">
        <f>VLOOKUP(B249,'HECVAT - Full'!A1:E312,2,FALSE)</f>
        <v>Have you entered into a BAA with all subcontractors who may have access to protected health information (PHI)?</v>
      </c>
      <c r="D249" s="358" t="str">
        <f>VLOOKUP(B249,'HECVAT - Full'!A1:E312,4,FALSE)</f>
        <v/>
      </c>
      <c r="E249" s="337" t="b">
        <f t="shared" si="8"/>
        <v>0</v>
      </c>
      <c r="F249" s="357" t="s">
        <v>803</v>
      </c>
      <c r="G249" s="335" t="s">
        <v>90</v>
      </c>
      <c r="H249" s="338">
        <v>1.0</v>
      </c>
      <c r="I249" s="349" t="str">
        <f>VLOOKUP(B249,'HECVAT - Full'!A1:E312,3,FALSE)</f>
        <v/>
      </c>
      <c r="J249" s="181">
        <f t="shared" si="78"/>
        <v>0</v>
      </c>
      <c r="K249" s="181">
        <f t="shared" si="77"/>
        <v>20</v>
      </c>
      <c r="L249" s="181">
        <f t="shared" si="6"/>
        <v>0</v>
      </c>
      <c r="M249" s="198" t="str">
        <f>VLOOKUP($B249,'Standards Crosswalk'!$A1:$H321,3,FALSE)</f>
        <v>CSC 10</v>
      </c>
      <c r="N249" s="198" t="str">
        <f>VLOOKUP($B249,'Standards Crosswalk'!$A1:$H321,4,FALSE)</f>
        <v>§164.308(a)(3)(i), §164.308(b)(1), 
§164.308(b)(3), §164.314(a)(1)(i)</v>
      </c>
      <c r="O249" s="198" t="str">
        <f>VLOOKUP($B249,'Standards Crosswalk'!$A1:$H321,5,FALSE)</f>
        <v>18.1.1</v>
      </c>
      <c r="P249" s="198" t="str">
        <f>VLOOKUP($B249,'Standards Crosswalk'!$A1:$H321,6,FALSE)</f>
        <v>ID.GV-3</v>
      </c>
      <c r="Q249" s="343" t="str">
        <f>VLOOKUP($B249,'Standards Crosswalk'!$A1:$H321,7,FALSE)</f>
        <v/>
      </c>
      <c r="R249" s="198" t="str">
        <f>VLOOKUP($B249,'Standards Crosswalk'!$A1:$H321,8,FALSE)</f>
        <v/>
      </c>
      <c r="S249" s="343">
        <f>VLOOKUP($B249,'Standards Crosswalk'!$A1:$I321,9,FALSE)</f>
        <v>12.8</v>
      </c>
      <c r="T249" s="181"/>
      <c r="U249" s="181"/>
      <c r="V249" s="181"/>
      <c r="W249" s="181"/>
      <c r="X249" s="181"/>
      <c r="Y249" s="181"/>
      <c r="Z249" s="6"/>
    </row>
    <row r="250" ht="43.5" customHeight="1">
      <c r="A250" s="334">
        <f t="shared" si="7"/>
        <v>248</v>
      </c>
      <c r="B250" s="335" t="s">
        <v>776</v>
      </c>
      <c r="C250" s="336" t="str">
        <f>VLOOKUP(B250,'HECVAT - Full'!A1:E312,2,FALSE)</f>
        <v>Do your systems or products store, process, or transmit cardholder (payment/credit/debt card) data?</v>
      </c>
      <c r="D250" s="358" t="str">
        <f>VLOOKUP(B250,'HECVAT - Full'!A1:E312,4,FALSE)</f>
        <v/>
      </c>
      <c r="E250" s="337" t="b">
        <f t="shared" si="8"/>
        <v>0</v>
      </c>
      <c r="F250" s="335" t="s">
        <v>808</v>
      </c>
      <c r="G250" s="335" t="s">
        <v>85</v>
      </c>
      <c r="H250" s="338">
        <v>1.0</v>
      </c>
      <c r="I250" s="349" t="str">
        <f>VLOOKUP(B250,'HECVAT - Full'!A1:E312,3,FALSE)</f>
        <v/>
      </c>
      <c r="J250" s="181">
        <f t="shared" si="78"/>
        <v>0</v>
      </c>
      <c r="K250" s="181">
        <f>IF(H250=1,15,"")</f>
        <v>15</v>
      </c>
      <c r="L250" s="181">
        <f t="shared" si="6"/>
        <v>0</v>
      </c>
      <c r="M250" s="198" t="str">
        <f>VLOOKUP($B250,'Standards Crosswalk'!$A1:$H321,3,FALSE)</f>
        <v>CSC 10</v>
      </c>
      <c r="N250" s="198" t="str">
        <f>VLOOKUP($B250,'Standards Crosswalk'!$A1:$H321,4,FALSE)</f>
        <v/>
      </c>
      <c r="O250" s="198" t="str">
        <f>VLOOKUP($B250,'Standards Crosswalk'!$A1:$H321,5,FALSE)</f>
        <v>18.1.1</v>
      </c>
      <c r="P250" s="198" t="str">
        <f>VLOOKUP($B250,'Standards Crosswalk'!$A1:$H321,6,FALSE)</f>
        <v>ID.GV-3</v>
      </c>
      <c r="Q250" s="343" t="str">
        <f>VLOOKUP($B250,'Standards Crosswalk'!$A1:$H321,7,FALSE)</f>
        <v/>
      </c>
      <c r="R250" s="198" t="str">
        <f>VLOOKUP($B250,'Standards Crosswalk'!$A1:$H321,8,FALSE)</f>
        <v/>
      </c>
      <c r="S250" s="343">
        <f>VLOOKUP($B250,'Standards Crosswalk'!$A1:$I321,9,FALSE)</f>
        <v>12.8</v>
      </c>
      <c r="T250" s="181"/>
      <c r="U250" s="181"/>
      <c r="V250" s="181"/>
      <c r="W250" s="181"/>
      <c r="X250" s="181"/>
      <c r="Y250" s="181"/>
      <c r="Z250" s="6"/>
    </row>
    <row r="251" ht="43.5" customHeight="1">
      <c r="A251" s="334">
        <f t="shared" si="7"/>
        <v>249</v>
      </c>
      <c r="B251" s="335" t="s">
        <v>779</v>
      </c>
      <c r="C251" s="336" t="str">
        <f>VLOOKUP(B251,'HECVAT - Full'!A1:E312,2,FALSE)</f>
        <v>Are you compliant with the Payment Card Industry Data Security Standard (PCI DSS)?</v>
      </c>
      <c r="D251" s="358" t="str">
        <f>VLOOKUP(B251,'HECVAT - Full'!A1:E312,4,FALSE)</f>
        <v/>
      </c>
      <c r="E251" s="337" t="b">
        <f t="shared" si="8"/>
        <v>0</v>
      </c>
      <c r="F251" s="335" t="s">
        <v>808</v>
      </c>
      <c r="G251" s="335" t="s">
        <v>90</v>
      </c>
      <c r="H251" s="338">
        <v>1.0</v>
      </c>
      <c r="I251" s="349" t="str">
        <f>VLOOKUP(B251,'HECVAT - Full'!A1:E312,3,FALSE)</f>
        <v/>
      </c>
      <c r="J251" s="181">
        <f t="shared" si="78"/>
        <v>0</v>
      </c>
      <c r="K251" s="181">
        <f>IF(H251=1,20,"")</f>
        <v>20</v>
      </c>
      <c r="L251" s="181">
        <f t="shared" si="6"/>
        <v>0</v>
      </c>
      <c r="M251" s="198" t="str">
        <f>VLOOKUP($B251,'Standards Crosswalk'!$A1:$H321,3,FALSE)</f>
        <v>CSC 10</v>
      </c>
      <c r="N251" s="198" t="str">
        <f>VLOOKUP($B251,'Standards Crosswalk'!$A1:$H321,4,FALSE)</f>
        <v/>
      </c>
      <c r="O251" s="198" t="str">
        <f>VLOOKUP($B251,'Standards Crosswalk'!$A1:$H321,5,FALSE)</f>
        <v>18.1.1</v>
      </c>
      <c r="P251" s="198" t="str">
        <f>VLOOKUP($B251,'Standards Crosswalk'!$A1:$H321,6,FALSE)</f>
        <v>ID.GV-3</v>
      </c>
      <c r="Q251" s="343" t="str">
        <f>VLOOKUP($B251,'Standards Crosswalk'!$A1:$H321,7,FALSE)</f>
        <v/>
      </c>
      <c r="R251" s="198" t="str">
        <f>VLOOKUP($B251,'Standards Crosswalk'!$A1:$H321,8,FALSE)</f>
        <v/>
      </c>
      <c r="S251" s="343">
        <f>VLOOKUP($B251,'Standards Crosswalk'!$A1:$I321,9,FALSE)</f>
        <v>12.8</v>
      </c>
      <c r="T251" s="181"/>
      <c r="U251" s="181"/>
      <c r="V251" s="181"/>
      <c r="W251" s="181"/>
      <c r="X251" s="181"/>
      <c r="Y251" s="181"/>
      <c r="Z251" s="6"/>
    </row>
    <row r="252" ht="57.75" customHeight="1">
      <c r="A252" s="334">
        <f t="shared" si="7"/>
        <v>250</v>
      </c>
      <c r="B252" s="335" t="s">
        <v>781</v>
      </c>
      <c r="C252" s="336" t="str">
        <f>VLOOKUP(B252,'HECVAT - Full'!A1:E312,2,FALSE)</f>
        <v>Do you have a current, executed within the past year, Attestation of Compliance (AoC) or Report on Compliance (RoC)?</v>
      </c>
      <c r="D252" s="358" t="str">
        <f>VLOOKUP(B252,'HECVAT - Full'!A1:E312,4,FALSE)</f>
        <v/>
      </c>
      <c r="E252" s="337" t="b">
        <f t="shared" si="8"/>
        <v>1</v>
      </c>
      <c r="F252" s="335" t="s">
        <v>808</v>
      </c>
      <c r="G252" s="335" t="s">
        <v>90</v>
      </c>
      <c r="H252" s="338">
        <v>1.0</v>
      </c>
      <c r="I252" s="349" t="str">
        <f>VLOOKUP(B252,'HECVAT - Full'!A1:E312,3,FALSE)</f>
        <v/>
      </c>
      <c r="J252" s="181">
        <f t="shared" si="78"/>
        <v>0</v>
      </c>
      <c r="K252" s="181">
        <f>IF(H252=1,25,"")</f>
        <v>25</v>
      </c>
      <c r="L252" s="181">
        <f t="shared" si="6"/>
        <v>0</v>
      </c>
      <c r="M252" s="198" t="str">
        <f>VLOOKUP($B252,'Standards Crosswalk'!$A1:$H321,3,FALSE)</f>
        <v>CSC 10</v>
      </c>
      <c r="N252" s="198" t="str">
        <f>VLOOKUP($B252,'Standards Crosswalk'!$A1:$H321,4,FALSE)</f>
        <v/>
      </c>
      <c r="O252" s="198" t="str">
        <f>VLOOKUP($B252,'Standards Crosswalk'!$A1:$H321,5,FALSE)</f>
        <v>18.1.1</v>
      </c>
      <c r="P252" s="198" t="str">
        <f>VLOOKUP($B252,'Standards Crosswalk'!$A1:$H321,6,FALSE)</f>
        <v>ID.GV-3</v>
      </c>
      <c r="Q252" s="343" t="str">
        <f>VLOOKUP($B252,'Standards Crosswalk'!$A1:$H321,7,FALSE)</f>
        <v/>
      </c>
      <c r="R252" s="198" t="str">
        <f>VLOOKUP($B252,'Standards Crosswalk'!$A1:$H321,8,FALSE)</f>
        <v/>
      </c>
      <c r="S252" s="343">
        <f>VLOOKUP($B252,'Standards Crosswalk'!$A1:$I321,9,FALSE)</f>
        <v>12.8</v>
      </c>
      <c r="T252" s="181"/>
      <c r="U252" s="181"/>
      <c r="V252" s="181"/>
      <c r="W252" s="181"/>
      <c r="X252" s="181"/>
      <c r="Y252" s="181"/>
      <c r="Z252" s="6"/>
    </row>
    <row r="253" ht="29.25" customHeight="1">
      <c r="A253" s="334">
        <f t="shared" si="7"/>
        <v>251</v>
      </c>
      <c r="B253" s="335" t="s">
        <v>783</v>
      </c>
      <c r="C253" s="336" t="str">
        <f>VLOOKUP(B253,'HECVAT - Full'!A1:E312,2,FALSE)</f>
        <v>Are you classified as a service provider?</v>
      </c>
      <c r="D253" s="358" t="str">
        <f>VLOOKUP(B253,'HECVAT - Full'!A1:E312,4,FALSE)</f>
        <v/>
      </c>
      <c r="E253" s="337" t="b">
        <f t="shared" si="8"/>
        <v>0</v>
      </c>
      <c r="F253" s="335" t="s">
        <v>808</v>
      </c>
      <c r="G253" s="335" t="s">
        <v>90</v>
      </c>
      <c r="H253" s="338">
        <v>1.0</v>
      </c>
      <c r="I253" s="349" t="str">
        <f>VLOOKUP(B253,'HECVAT - Full'!A1:E312,3,FALSE)</f>
        <v/>
      </c>
      <c r="J253" s="181">
        <f t="shared" si="78"/>
        <v>0</v>
      </c>
      <c r="K253" s="181">
        <f t="shared" ref="K253:K254" si="79">IF(H253=1,20,"")</f>
        <v>20</v>
      </c>
      <c r="L253" s="181">
        <f t="shared" si="6"/>
        <v>0</v>
      </c>
      <c r="M253" s="198" t="str">
        <f>VLOOKUP($B253,'Standards Crosswalk'!$A1:$H321,3,FALSE)</f>
        <v/>
      </c>
      <c r="N253" s="198" t="str">
        <f>VLOOKUP($B253,'Standards Crosswalk'!$A1:$H321,4,FALSE)</f>
        <v/>
      </c>
      <c r="O253" s="198" t="str">
        <f>VLOOKUP($B253,'Standards Crosswalk'!$A1:$H321,5,FALSE)</f>
        <v/>
      </c>
      <c r="P253" s="198" t="str">
        <f>VLOOKUP($B253,'Standards Crosswalk'!$A1:$H321,6,FALSE)</f>
        <v>ID.GV-3</v>
      </c>
      <c r="Q253" s="343" t="str">
        <f>VLOOKUP($B253,'Standards Crosswalk'!$A1:$H321,7,FALSE)</f>
        <v/>
      </c>
      <c r="R253" s="198" t="str">
        <f>VLOOKUP($B253,'Standards Crosswalk'!$A1:$H321,8,FALSE)</f>
        <v/>
      </c>
      <c r="S253" s="343">
        <f>VLOOKUP($B253,'Standards Crosswalk'!$A1:$I321,9,FALSE)</f>
        <v>12.8</v>
      </c>
      <c r="T253" s="181"/>
      <c r="U253" s="181"/>
      <c r="V253" s="181"/>
      <c r="W253" s="181"/>
      <c r="X253" s="181"/>
      <c r="Y253" s="181"/>
      <c r="Z253" s="6"/>
    </row>
    <row r="254" ht="29.25" customHeight="1">
      <c r="A254" s="334">
        <f t="shared" si="7"/>
        <v>252</v>
      </c>
      <c r="B254" s="335" t="s">
        <v>785</v>
      </c>
      <c r="C254" s="336" t="str">
        <f>VLOOKUP(B254,'HECVAT - Full'!A1:E312,2,FALSE)</f>
        <v>Are you on the list of VISA approved service providers? </v>
      </c>
      <c r="D254" s="358" t="str">
        <f>VLOOKUP(B254,'HECVAT - Full'!A1:E312,4,FALSE)</f>
        <v/>
      </c>
      <c r="E254" s="337" t="b">
        <f t="shared" si="8"/>
        <v>0</v>
      </c>
      <c r="F254" s="335" t="s">
        <v>808</v>
      </c>
      <c r="G254" s="335" t="s">
        <v>90</v>
      </c>
      <c r="H254" s="338">
        <v>1.0</v>
      </c>
      <c r="I254" s="349" t="str">
        <f>VLOOKUP(B254,'HECVAT - Full'!A1:E312,3,FALSE)</f>
        <v/>
      </c>
      <c r="J254" s="181">
        <f t="shared" si="78"/>
        <v>0</v>
      </c>
      <c r="K254" s="181">
        <f t="shared" si="79"/>
        <v>20</v>
      </c>
      <c r="L254" s="181">
        <f t="shared" si="6"/>
        <v>0</v>
      </c>
      <c r="M254" s="198" t="str">
        <f>VLOOKUP($B254,'Standards Crosswalk'!$A1:$H321,3,FALSE)</f>
        <v/>
      </c>
      <c r="N254" s="198" t="str">
        <f>VLOOKUP($B254,'Standards Crosswalk'!$A1:$H321,4,FALSE)</f>
        <v/>
      </c>
      <c r="O254" s="198" t="str">
        <f>VLOOKUP($B254,'Standards Crosswalk'!$A1:$H321,5,FALSE)</f>
        <v/>
      </c>
      <c r="P254" s="198" t="str">
        <f>VLOOKUP($B254,'Standards Crosswalk'!$A1:$H321,6,FALSE)</f>
        <v>ID.GV-3</v>
      </c>
      <c r="Q254" s="343" t="str">
        <f>VLOOKUP($B254,'Standards Crosswalk'!$A1:$H321,7,FALSE)</f>
        <v/>
      </c>
      <c r="R254" s="198" t="str">
        <f>VLOOKUP($B254,'Standards Crosswalk'!$A1:$H321,8,FALSE)</f>
        <v/>
      </c>
      <c r="S254" s="343">
        <f>VLOOKUP($B254,'Standards Crosswalk'!$A1:$I321,9,FALSE)</f>
        <v>12.8</v>
      </c>
      <c r="T254" s="181"/>
      <c r="U254" s="181"/>
      <c r="V254" s="181"/>
      <c r="W254" s="181"/>
      <c r="X254" s="181"/>
      <c r="Y254" s="181"/>
      <c r="Z254" s="6"/>
    </row>
    <row r="255" ht="29.25" customHeight="1">
      <c r="A255" s="334">
        <f t="shared" si="7"/>
        <v>253</v>
      </c>
      <c r="B255" s="335" t="s">
        <v>787</v>
      </c>
      <c r="C255" s="336" t="str">
        <f>VLOOKUP(B255,'HECVAT - Full'!A1:E312,2,FALSE)</f>
        <v>Are you classified as a merchant?  If so, what level (1, 2, 3, 4)?</v>
      </c>
      <c r="D255" s="358" t="str">
        <f>VLOOKUP(B255,'HECVAT - Full'!A1:E312,4,FALSE)</f>
        <v/>
      </c>
      <c r="E255" s="337" t="b">
        <f t="shared" si="8"/>
        <v>1</v>
      </c>
      <c r="F255" s="335" t="s">
        <v>808</v>
      </c>
      <c r="G255" s="335" t="s">
        <v>90</v>
      </c>
      <c r="H255" s="338">
        <v>1.0</v>
      </c>
      <c r="I255" s="349" t="str">
        <f>VLOOKUP(B255,'HECVAT - Full'!A1:E312,3,FALSE)</f>
        <v/>
      </c>
      <c r="J255" s="181">
        <f>IF(VLOOKUP(B255,'Analyst Report'!$A$41:$G$88,7,FALSE)="Yes",1,0)</f>
        <v>0</v>
      </c>
      <c r="K255" s="181">
        <f>IF(H255=1,25,"")</f>
        <v>25</v>
      </c>
      <c r="L255" s="181">
        <f t="shared" si="6"/>
        <v>0</v>
      </c>
      <c r="M255" s="198" t="str">
        <f>VLOOKUP($B255,'Standards Crosswalk'!$A1:$H321,3,FALSE)</f>
        <v/>
      </c>
      <c r="N255" s="198" t="str">
        <f>VLOOKUP($B255,'Standards Crosswalk'!$A1:$H321,4,FALSE)</f>
        <v/>
      </c>
      <c r="O255" s="198" t="str">
        <f>VLOOKUP($B255,'Standards Crosswalk'!$A1:$H321,5,FALSE)</f>
        <v/>
      </c>
      <c r="P255" s="198" t="str">
        <f>VLOOKUP($B255,'Standards Crosswalk'!$A1:$H321,6,FALSE)</f>
        <v>ID.GV-3</v>
      </c>
      <c r="Q255" s="343" t="str">
        <f>VLOOKUP($B255,'Standards Crosswalk'!$A1:$H321,7,FALSE)</f>
        <v/>
      </c>
      <c r="R255" s="198" t="str">
        <f>VLOOKUP($B255,'Standards Crosswalk'!$A1:$H321,8,FALSE)</f>
        <v/>
      </c>
      <c r="S255" s="343">
        <f>VLOOKUP($B255,'Standards Crosswalk'!$A1:$I321,9,FALSE)</f>
        <v>12.8</v>
      </c>
      <c r="T255" s="181"/>
      <c r="U255" s="181"/>
      <c r="V255" s="181"/>
      <c r="W255" s="181"/>
      <c r="X255" s="181"/>
      <c r="Y255" s="181"/>
      <c r="Z255" s="6"/>
    </row>
    <row r="256" ht="43.5" customHeight="1">
      <c r="A256" s="334">
        <f t="shared" si="7"/>
        <v>254</v>
      </c>
      <c r="B256" s="335" t="s">
        <v>789</v>
      </c>
      <c r="C256" s="336" t="str">
        <f>VLOOKUP(B256,'HECVAT - Full'!A1:E312,2,FALSE)</f>
        <v>Describe the architecture employed by the system to verify and authorize credit card transactions.</v>
      </c>
      <c r="D256" s="334" t="str">
        <f>VLOOKUP(B256,'HECVAT - Full'!A1:E312,4,FALSE)</f>
        <v/>
      </c>
      <c r="E256" s="337" t="b">
        <f t="shared" si="8"/>
        <v>0</v>
      </c>
      <c r="F256" s="335" t="s">
        <v>808</v>
      </c>
      <c r="G256" s="335" t="s">
        <v>90</v>
      </c>
      <c r="H256" s="338">
        <v>1.0</v>
      </c>
      <c r="I256" s="349" t="str">
        <f>VLOOKUP(B256,'HECVAT - Full'!A1:E312,3,FALSE)</f>
        <v/>
      </c>
      <c r="J256" s="181">
        <f>IF(VLOOKUP(B256,'Analyst Report'!$A$41:$G$88,7,FALSE)="Yes",1,0)</f>
        <v>0</v>
      </c>
      <c r="K256" s="181">
        <f t="shared" ref="K256:K257" si="80">IF(H256=1,20,"")</f>
        <v>20</v>
      </c>
      <c r="L256" s="181">
        <f t="shared" si="6"/>
        <v>0</v>
      </c>
      <c r="M256" s="198" t="str">
        <f>VLOOKUP($B256,'Standards Crosswalk'!$A1:$H321,3,FALSE)</f>
        <v>CSC 1, CSC 2</v>
      </c>
      <c r="N256" s="198" t="str">
        <f>VLOOKUP($B256,'Standards Crosswalk'!$A1:$H321,4,FALSE)</f>
        <v/>
      </c>
      <c r="O256" s="198" t="str">
        <f>VLOOKUP($B256,'Standards Crosswalk'!$A1:$H321,5,FALSE)</f>
        <v/>
      </c>
      <c r="P256" s="198" t="str">
        <f>VLOOKUP($B256,'Standards Crosswalk'!$A1:$H321,6,FALSE)</f>
        <v>ID.GV-3</v>
      </c>
      <c r="Q256" s="343" t="str">
        <f>VLOOKUP($B256,'Standards Crosswalk'!$A1:$H321,7,FALSE)</f>
        <v/>
      </c>
      <c r="R256" s="198" t="str">
        <f>VLOOKUP($B256,'Standards Crosswalk'!$A1:$H321,8,FALSE)</f>
        <v/>
      </c>
      <c r="S256" s="198" t="str">
        <f>VLOOKUP($B256,'Standards Crosswalk'!$A1:$I321,9,FALSE)</f>
        <v>PCI Scope</v>
      </c>
      <c r="T256" s="181"/>
      <c r="U256" s="181"/>
      <c r="V256" s="181"/>
      <c r="W256" s="181"/>
      <c r="X256" s="181"/>
      <c r="Y256" s="181"/>
      <c r="Z256" s="6"/>
    </row>
    <row r="257" ht="43.5" customHeight="1">
      <c r="A257" s="334">
        <f t="shared" si="7"/>
        <v>255</v>
      </c>
      <c r="B257" s="335" t="s">
        <v>791</v>
      </c>
      <c r="C257" s="336" t="str">
        <f>VLOOKUP(B257,'HECVAT - Full'!A1:E312,2,FALSE)</f>
        <v>What payment processors/gateways does the system support? </v>
      </c>
      <c r="D257" s="334" t="str">
        <f>VLOOKUP(B257,'HECVAT - Full'!A1:E312,4,FALSE)</f>
        <v/>
      </c>
      <c r="E257" s="337" t="b">
        <f t="shared" si="8"/>
        <v>0</v>
      </c>
      <c r="F257" s="335" t="s">
        <v>808</v>
      </c>
      <c r="G257" s="335" t="s">
        <v>90</v>
      </c>
      <c r="H257" s="338">
        <v>1.0</v>
      </c>
      <c r="I257" s="349" t="str">
        <f>VLOOKUP(B257,'HECVAT - Full'!A1:E312,3,FALSE)</f>
        <v/>
      </c>
      <c r="J257" s="181">
        <f>IF(VLOOKUP(B257,'Analyst Report'!$A$41:$G$88,7,FALSE)="Yes",1,0)</f>
        <v>0</v>
      </c>
      <c r="K257" s="181">
        <f t="shared" si="80"/>
        <v>20</v>
      </c>
      <c r="L257" s="181">
        <f t="shared" si="6"/>
        <v>0</v>
      </c>
      <c r="M257" s="198" t="str">
        <f>VLOOKUP($B257,'Standards Crosswalk'!$A1:$H321,3,FALSE)</f>
        <v>CSC 18</v>
      </c>
      <c r="N257" s="198" t="str">
        <f>VLOOKUP($B257,'Standards Crosswalk'!$A1:$H321,4,FALSE)</f>
        <v/>
      </c>
      <c r="O257" s="198" t="str">
        <f>VLOOKUP($B257,'Standards Crosswalk'!$A1:$H321,5,FALSE)</f>
        <v/>
      </c>
      <c r="P257" s="198" t="str">
        <f>VLOOKUP($B257,'Standards Crosswalk'!$A1:$H321,6,FALSE)</f>
        <v>ID.GV-3</v>
      </c>
      <c r="Q257" s="343" t="str">
        <f>VLOOKUP($B257,'Standards Crosswalk'!$A1:$H321,7,FALSE)</f>
        <v/>
      </c>
      <c r="R257" s="198" t="str">
        <f>VLOOKUP($B257,'Standards Crosswalk'!$A1:$H321,8,FALSE)</f>
        <v/>
      </c>
      <c r="S257" s="343">
        <f>VLOOKUP($B257,'Standards Crosswalk'!$A1:$I321,9,FALSE)</f>
        <v>12.8</v>
      </c>
      <c r="T257" s="181"/>
      <c r="U257" s="181"/>
      <c r="V257" s="181"/>
      <c r="W257" s="181"/>
      <c r="X257" s="181"/>
      <c r="Y257" s="181"/>
      <c r="Z257" s="6"/>
    </row>
    <row r="258" ht="29.25" customHeight="1">
      <c r="A258" s="334">
        <f t="shared" si="7"/>
        <v>256</v>
      </c>
      <c r="B258" s="335" t="s">
        <v>793</v>
      </c>
      <c r="C258" s="336" t="str">
        <f>VLOOKUP(B258,'HECVAT - Full'!A1:E312,2,FALSE)</f>
        <v>Can the application be installed in a PCI DSS compliant manner ?</v>
      </c>
      <c r="D258" s="358" t="str">
        <f>VLOOKUP(B258,'HECVAT - Full'!A1:E312,4,FALSE)</f>
        <v/>
      </c>
      <c r="E258" s="337" t="b">
        <f t="shared" si="8"/>
        <v>1</v>
      </c>
      <c r="F258" s="335" t="s">
        <v>808</v>
      </c>
      <c r="G258" s="335" t="s">
        <v>90</v>
      </c>
      <c r="H258" s="338">
        <v>1.0</v>
      </c>
      <c r="I258" s="349" t="str">
        <f>VLOOKUP(B258,'HECVAT - Full'!A1:E312,3,FALSE)</f>
        <v/>
      </c>
      <c r="J258" s="181">
        <f t="shared" ref="J258:J260" si="81">IF(G258=I258,1,0)</f>
        <v>0</v>
      </c>
      <c r="K258" s="181">
        <f>IF(H258=1,25,"")</f>
        <v>25</v>
      </c>
      <c r="L258" s="181">
        <f t="shared" si="6"/>
        <v>0</v>
      </c>
      <c r="M258" s="198" t="str">
        <f>VLOOKUP($B258,'Standards Crosswalk'!$A1:$H321,3,FALSE)</f>
        <v>CSC 10</v>
      </c>
      <c r="N258" s="198" t="str">
        <f>VLOOKUP($B258,'Standards Crosswalk'!$A1:$H321,4,FALSE)</f>
        <v/>
      </c>
      <c r="O258" s="198" t="str">
        <f>VLOOKUP($B258,'Standards Crosswalk'!$A1:$H321,5,FALSE)</f>
        <v/>
      </c>
      <c r="P258" s="198" t="str">
        <f>VLOOKUP($B258,'Standards Crosswalk'!$A1:$H321,6,FALSE)</f>
        <v>ID.GV-3</v>
      </c>
      <c r="Q258" s="343" t="str">
        <f>VLOOKUP($B258,'Standards Crosswalk'!$A1:$H321,7,FALSE)</f>
        <v/>
      </c>
      <c r="R258" s="198" t="str">
        <f>VLOOKUP($B258,'Standards Crosswalk'!$A1:$H321,8,FALSE)</f>
        <v/>
      </c>
      <c r="S258" s="343">
        <f>VLOOKUP($B258,'Standards Crosswalk'!$A1:$I321,9,FALSE)</f>
        <v>12.8</v>
      </c>
      <c r="T258" s="181"/>
      <c r="U258" s="181"/>
      <c r="V258" s="181"/>
      <c r="W258" s="181"/>
      <c r="X258" s="181"/>
      <c r="Y258" s="181"/>
      <c r="Z258" s="6"/>
    </row>
    <row r="259" ht="29.25" customHeight="1">
      <c r="A259" s="334">
        <f t="shared" si="7"/>
        <v>257</v>
      </c>
      <c r="B259" s="335" t="s">
        <v>795</v>
      </c>
      <c r="C259" s="336" t="str">
        <f>VLOOKUP(B259,'HECVAT - Full'!A1:E312,2,FALSE)</f>
        <v>Is the application listed as an approved PA-DSS application? </v>
      </c>
      <c r="D259" s="358" t="str">
        <f>VLOOKUP(B259,'HECVAT - Full'!A1:E312,4,FALSE)</f>
        <v/>
      </c>
      <c r="E259" s="337" t="b">
        <f t="shared" si="8"/>
        <v>0</v>
      </c>
      <c r="F259" s="335" t="s">
        <v>808</v>
      </c>
      <c r="G259" s="335" t="s">
        <v>90</v>
      </c>
      <c r="H259" s="338">
        <v>1.0</v>
      </c>
      <c r="I259" s="349" t="str">
        <f>VLOOKUP(B259,'HECVAT - Full'!A1:E312,3,FALSE)</f>
        <v/>
      </c>
      <c r="J259" s="181">
        <f t="shared" si="81"/>
        <v>0</v>
      </c>
      <c r="K259" s="181">
        <f t="shared" ref="K259:K261" si="82">IF(H259=1,20,"")</f>
        <v>20</v>
      </c>
      <c r="L259" s="181">
        <f t="shared" si="6"/>
        <v>0</v>
      </c>
      <c r="M259" s="198" t="str">
        <f>VLOOKUP($B259,'Standards Crosswalk'!$A1:$H321,3,FALSE)</f>
        <v/>
      </c>
      <c r="N259" s="198" t="str">
        <f>VLOOKUP($B259,'Standards Crosswalk'!$A1:$H321,4,FALSE)</f>
        <v/>
      </c>
      <c r="O259" s="198" t="str">
        <f>VLOOKUP($B259,'Standards Crosswalk'!$A1:$H321,5,FALSE)</f>
        <v/>
      </c>
      <c r="P259" s="198" t="str">
        <f>VLOOKUP($B259,'Standards Crosswalk'!$A1:$H321,6,FALSE)</f>
        <v>ID.GV-3</v>
      </c>
      <c r="Q259" s="343" t="str">
        <f>VLOOKUP($B259,'Standards Crosswalk'!$A1:$H321,7,FALSE)</f>
        <v/>
      </c>
      <c r="R259" s="198" t="str">
        <f>VLOOKUP($B259,'Standards Crosswalk'!$A1:$H321,8,FALSE)</f>
        <v/>
      </c>
      <c r="S259" s="343">
        <f>VLOOKUP($B259,'Standards Crosswalk'!$A1:$I321,9,FALSE)</f>
        <v>12.8</v>
      </c>
      <c r="T259" s="181"/>
      <c r="U259" s="181"/>
      <c r="V259" s="181"/>
      <c r="W259" s="181"/>
      <c r="X259" s="181"/>
      <c r="Y259" s="181"/>
      <c r="Z259" s="6"/>
    </row>
    <row r="260" ht="57.75" customHeight="1">
      <c r="A260" s="334">
        <f t="shared" si="7"/>
        <v>258</v>
      </c>
      <c r="B260" s="335" t="s">
        <v>797</v>
      </c>
      <c r="C260" s="336" t="str">
        <f>VLOOKUP(B260,'HECVAT - Full'!A1:E312,2,FALSE)</f>
        <v>Does the system or products use a third party to collect, store, process, or transmit cardholder (payment/credit/debt card) data?</v>
      </c>
      <c r="D260" s="358" t="str">
        <f>VLOOKUP(B260,'HECVAT - Full'!A1:E312,4,FALSE)</f>
        <v/>
      </c>
      <c r="E260" s="337" t="b">
        <f t="shared" si="8"/>
        <v>0</v>
      </c>
      <c r="F260" s="335" t="s">
        <v>808</v>
      </c>
      <c r="G260" s="335" t="s">
        <v>85</v>
      </c>
      <c r="H260" s="338">
        <v>1.0</v>
      </c>
      <c r="I260" s="349" t="str">
        <f>VLOOKUP(B260,'HECVAT - Full'!A1:E312,3,FALSE)</f>
        <v/>
      </c>
      <c r="J260" s="181">
        <f t="shared" si="81"/>
        <v>0</v>
      </c>
      <c r="K260" s="181">
        <f t="shared" si="82"/>
        <v>20</v>
      </c>
      <c r="L260" s="181">
        <f t="shared" si="6"/>
        <v>0</v>
      </c>
      <c r="M260" s="198" t="str">
        <f>VLOOKUP($B260,'Standards Crosswalk'!$A1:$H321,3,FALSE)</f>
        <v>CSC 12, CSC 13</v>
      </c>
      <c r="N260" s="198" t="str">
        <f>VLOOKUP($B260,'Standards Crosswalk'!$A1:$H321,4,FALSE)</f>
        <v/>
      </c>
      <c r="O260" s="198" t="str">
        <f>VLOOKUP($B260,'Standards Crosswalk'!$A1:$H321,5,FALSE)</f>
        <v/>
      </c>
      <c r="P260" s="198" t="str">
        <f>VLOOKUP($B260,'Standards Crosswalk'!$A1:$H321,6,FALSE)</f>
        <v>ID.GV-3</v>
      </c>
      <c r="Q260" s="343" t="str">
        <f>VLOOKUP($B260,'Standards Crosswalk'!$A1:$H321,7,FALSE)</f>
        <v/>
      </c>
      <c r="R260" s="198" t="str">
        <f>VLOOKUP($B260,'Standards Crosswalk'!$A1:$H321,8,FALSE)</f>
        <v/>
      </c>
      <c r="S260" s="343">
        <f>VLOOKUP($B260,'Standards Crosswalk'!$A1:$I321,9,FALSE)</f>
        <v>12.8</v>
      </c>
      <c r="T260" s="181"/>
      <c r="U260" s="181"/>
      <c r="V260" s="181"/>
      <c r="W260" s="181"/>
      <c r="X260" s="181"/>
      <c r="Y260" s="181"/>
      <c r="Z260" s="6"/>
    </row>
    <row r="261" ht="100.5" customHeight="1">
      <c r="A261" s="334">
        <f t="shared" si="7"/>
        <v>259</v>
      </c>
      <c r="B261" s="335" t="s">
        <v>799</v>
      </c>
      <c r="C261" s="336" t="str">
        <f>VLOOKUP(B261,'HECVAT - Full'!A1:E312,2,FALSE)</f>
        <v>Include documentation describing the systems' abilities to comply with the PCI DSS and any features or capabilities of the system that must be added or changed in order to operate in compliance with the standards. </v>
      </c>
      <c r="D261" s="334" t="str">
        <f>VLOOKUP(B261,'HECVAT - Full'!A1:E312,4,FALSE)</f>
        <v/>
      </c>
      <c r="E261" s="337" t="b">
        <f t="shared" si="8"/>
        <v>0</v>
      </c>
      <c r="F261" s="335" t="s">
        <v>808</v>
      </c>
      <c r="G261" s="335" t="s">
        <v>85</v>
      </c>
      <c r="H261" s="338">
        <v>1.0</v>
      </c>
      <c r="I261" s="349" t="str">
        <f>VLOOKUP(B261,'HECVAT - Full'!A1:E312,3,FALSE)</f>
        <v/>
      </c>
      <c r="J261" s="181">
        <f>IF(VLOOKUP(B261,'Analyst Report'!$A$41:$G$88,7,FALSE)="Yes",1,0)</f>
        <v>0</v>
      </c>
      <c r="K261" s="181">
        <f t="shared" si="82"/>
        <v>20</v>
      </c>
      <c r="L261" s="181">
        <f t="shared" si="6"/>
        <v>0</v>
      </c>
      <c r="M261" s="198" t="str">
        <f>VLOOKUP($B261,'Standards Crosswalk'!$A1:$H321,3,FALSE)</f>
        <v>CSC 10</v>
      </c>
      <c r="N261" s="198" t="str">
        <f>VLOOKUP($B261,'Standards Crosswalk'!$A1:$H321,4,FALSE)</f>
        <v/>
      </c>
      <c r="O261" s="198" t="str">
        <f>VLOOKUP($B261,'Standards Crosswalk'!$A1:$H321,5,FALSE)</f>
        <v/>
      </c>
      <c r="P261" s="198" t="str">
        <f>VLOOKUP($B261,'Standards Crosswalk'!$A1:$H321,6,FALSE)</f>
        <v>ID.GV-3</v>
      </c>
      <c r="Q261" s="343" t="str">
        <f>VLOOKUP($B261,'Standards Crosswalk'!$A1:$H321,7,FALSE)</f>
        <v/>
      </c>
      <c r="R261" s="198" t="str">
        <f>VLOOKUP($B261,'Standards Crosswalk'!$A1:$H321,8,FALSE)</f>
        <v/>
      </c>
      <c r="S261" s="343">
        <f>VLOOKUP($B261,'Standards Crosswalk'!$A1:$I321,9,FALSE)</f>
        <v>12.8</v>
      </c>
      <c r="T261" s="181"/>
      <c r="U261" s="181"/>
      <c r="V261" s="181"/>
      <c r="W261" s="181"/>
      <c r="X261" s="181"/>
      <c r="Y261" s="181"/>
      <c r="Z261" s="6"/>
    </row>
    <row r="262" ht="57.75" customHeight="1">
      <c r="A262" s="334">
        <f t="shared" si="7"/>
        <v>260</v>
      </c>
      <c r="B262" s="335" t="s">
        <v>116</v>
      </c>
      <c r="C262" s="336" t="str">
        <f>VLOOKUP(B262,'HECVAT - Full'!A1:E312,2,FALSE)</f>
        <v>Describe your organization’s business background and ownership structure, including all parent and subsidiary relationships.</v>
      </c>
      <c r="D262" s="334" t="str">
        <f>VLOOKUP(B262,'HECVAT - Full'!A1:E312,4,FALSE)</f>
        <v/>
      </c>
      <c r="E262" s="337" t="b">
        <f t="shared" si="8"/>
        <v>0</v>
      </c>
      <c r="F262" s="335" t="s">
        <v>3122</v>
      </c>
      <c r="G262" s="348"/>
      <c r="H262" s="338">
        <v>1.0</v>
      </c>
      <c r="I262" s="336" t="str">
        <f>VLOOKUP(B262,'HECVAT - Full'!A1:E312,3,FALSE)</f>
        <v>GATHERACT LLC is a multi-member LLC in the state of Oregon. We have no employees, only members/owners. GATHERACT LLC is the owner of the LTIAAS product.</v>
      </c>
      <c r="J262" s="181">
        <f>IF(VLOOKUP(B262,'Analyst Report'!$A$38:$G$88,7,FALSE)="Yes",1,0)</f>
        <v>0</v>
      </c>
      <c r="K262" s="181">
        <f t="shared" ref="K262:K264" si="83">IF(H262=1,10,"")</f>
        <v>10</v>
      </c>
      <c r="L262" s="181">
        <f t="shared" si="6"/>
        <v>0</v>
      </c>
      <c r="M262" s="198" t="str">
        <f>VLOOKUP($B262,'Standards Crosswalk'!$A1:$H321,3,FALSE)</f>
        <v/>
      </c>
      <c r="N262" s="198" t="str">
        <f>VLOOKUP($B262,'Standards Crosswalk'!$A1:$H321,4,FALSE)</f>
        <v/>
      </c>
      <c r="O262" s="198" t="str">
        <f>VLOOKUP($B262,'Standards Crosswalk'!$A1:$H321,5,FALSE)</f>
        <v/>
      </c>
      <c r="P262" s="198" t="str">
        <f>VLOOKUP($B262,'Standards Crosswalk'!$A1:$H321,6,FALSE)</f>
        <v/>
      </c>
      <c r="Q262" s="343" t="str">
        <f>VLOOKUP($B262,'Standards Crosswalk'!$A1:$H321,7,FALSE)</f>
        <v/>
      </c>
      <c r="R262" s="198" t="str">
        <f>VLOOKUP($B262,'Standards Crosswalk'!$A1:$H321,8,FALSE)</f>
        <v/>
      </c>
      <c r="S262" s="343">
        <f>VLOOKUP($B262,'Standards Crosswalk'!$A1:$I321,9,FALSE)</f>
        <v>12.8</v>
      </c>
      <c r="T262" s="181"/>
      <c r="U262" s="181"/>
      <c r="V262" s="181"/>
      <c r="W262" s="181"/>
      <c r="X262" s="181"/>
      <c r="Y262" s="181"/>
      <c r="Z262" s="6"/>
    </row>
    <row r="263" ht="43.5" customHeight="1">
      <c r="A263" s="334">
        <f t="shared" si="7"/>
        <v>261</v>
      </c>
      <c r="B263" s="335" t="s">
        <v>120</v>
      </c>
      <c r="C263" s="336" t="str">
        <f>VLOOKUP(B263,'HECVAT - Full'!A1:E312,2,FALSE)</f>
        <v>Describe how long your organization has conducted business in this product area.</v>
      </c>
      <c r="D263" s="334" t="str">
        <f>VLOOKUP(B263,'HECVAT - Full'!A1:E312,4,FALSE)</f>
        <v/>
      </c>
      <c r="E263" s="337" t="b">
        <f t="shared" si="8"/>
        <v>0</v>
      </c>
      <c r="F263" s="335" t="s">
        <v>3122</v>
      </c>
      <c r="G263" s="348"/>
      <c r="H263" s="338">
        <v>1.0</v>
      </c>
      <c r="I263" s="336" t="str">
        <f>VLOOKUP(B263,'HECVAT - Full'!A1:E312,3,FALSE)</f>
        <v>We have officially been in business for over one year. But our combined expertise is greater than 20 years.</v>
      </c>
      <c r="J263" s="181">
        <f>IF(VLOOKUP(B263,'Analyst Report'!$A$38:$G$88,7,FALSE)="Yes",1,0)</f>
        <v>0</v>
      </c>
      <c r="K263" s="181">
        <f t="shared" si="83"/>
        <v>10</v>
      </c>
      <c r="L263" s="181">
        <f t="shared" si="6"/>
        <v>0</v>
      </c>
      <c r="M263" s="198" t="str">
        <f>VLOOKUP($B263,'Standards Crosswalk'!$A1:$H321,3,FALSE)</f>
        <v/>
      </c>
      <c r="N263" s="198" t="str">
        <f>VLOOKUP($B263,'Standards Crosswalk'!$A1:$H321,4,FALSE)</f>
        <v/>
      </c>
      <c r="O263" s="198" t="str">
        <f>VLOOKUP($B263,'Standards Crosswalk'!$A1:$H321,5,FALSE)</f>
        <v/>
      </c>
      <c r="P263" s="198" t="str">
        <f>VLOOKUP($B263,'Standards Crosswalk'!$A1:$H321,6,FALSE)</f>
        <v/>
      </c>
      <c r="Q263" s="343" t="str">
        <f>VLOOKUP($B263,'Standards Crosswalk'!$A1:$H321,7,FALSE)</f>
        <v/>
      </c>
      <c r="R263" s="198" t="str">
        <f>VLOOKUP($B263,'Standards Crosswalk'!$A1:$H321,8,FALSE)</f>
        <v/>
      </c>
      <c r="S263" s="343">
        <f>VLOOKUP($B263,'Standards Crosswalk'!$A1:$I321,9,FALSE)</f>
        <v>12.8</v>
      </c>
      <c r="T263" s="181"/>
      <c r="U263" s="181"/>
      <c r="V263" s="181"/>
      <c r="W263" s="181"/>
      <c r="X263" s="181"/>
      <c r="Y263" s="181"/>
      <c r="Z263" s="6"/>
    </row>
    <row r="264" ht="29.25" customHeight="1">
      <c r="A264" s="334">
        <f t="shared" si="7"/>
        <v>262</v>
      </c>
      <c r="B264" s="335" t="s">
        <v>124</v>
      </c>
      <c r="C264" s="336" t="str">
        <f>VLOOKUP(B264,'HECVAT - Full'!A1:E312,2,FALSE)</f>
        <v>Do you have existing higher education customers?</v>
      </c>
      <c r="D264" s="339" t="str">
        <f>VLOOKUP(B264,'HECVAT - Full'!A1:E312,4,FALSE)</f>
        <v>Available upon request</v>
      </c>
      <c r="E264" s="337" t="b">
        <f t="shared" si="8"/>
        <v>0</v>
      </c>
      <c r="F264" s="335" t="s">
        <v>3122</v>
      </c>
      <c r="G264" s="335" t="s">
        <v>90</v>
      </c>
      <c r="H264" s="338">
        <v>1.0</v>
      </c>
      <c r="I264" s="336" t="str">
        <f>VLOOKUP(B264,'HECVAT - Full'!A1:E312,3,FALSE)</f>
        <v>Yes</v>
      </c>
      <c r="J264" s="181">
        <f t="shared" ref="J264:J267" si="84">IF(G264=I264,1,0)</f>
        <v>1</v>
      </c>
      <c r="K264" s="181">
        <f t="shared" si="83"/>
        <v>10</v>
      </c>
      <c r="L264" s="181">
        <f t="shared" si="6"/>
        <v>10</v>
      </c>
      <c r="M264" s="198" t="str">
        <f>VLOOKUP($B264,'Standards Crosswalk'!$A1:$H321,3,FALSE)</f>
        <v/>
      </c>
      <c r="N264" s="198" t="str">
        <f>VLOOKUP($B264,'Standards Crosswalk'!$A1:$H321,4,FALSE)</f>
        <v/>
      </c>
      <c r="O264" s="198" t="str">
        <f>VLOOKUP($B264,'Standards Crosswalk'!$A1:$H321,5,FALSE)</f>
        <v>15.2.1</v>
      </c>
      <c r="P264" s="198" t="str">
        <f>VLOOKUP($B264,'Standards Crosswalk'!$A1:$H321,6,FALSE)</f>
        <v/>
      </c>
      <c r="Q264" s="343" t="str">
        <f>VLOOKUP($B264,'Standards Crosswalk'!$A1:$H321,7,FALSE)</f>
        <v/>
      </c>
      <c r="R264" s="198" t="str">
        <f>VLOOKUP($B264,'Standards Crosswalk'!$A1:$H321,8,FALSE)</f>
        <v/>
      </c>
      <c r="S264" s="343">
        <f>VLOOKUP($B264,'Standards Crosswalk'!$A1:$I321,9,FALSE)</f>
        <v>12.8</v>
      </c>
      <c r="T264" s="181"/>
      <c r="U264" s="181"/>
      <c r="V264" s="181"/>
      <c r="W264" s="181"/>
      <c r="X264" s="181"/>
      <c r="Y264" s="181"/>
      <c r="Z264" s="6"/>
    </row>
    <row r="265" ht="29.25" customHeight="1">
      <c r="A265" s="334">
        <f t="shared" si="7"/>
        <v>263</v>
      </c>
      <c r="B265" s="335" t="s">
        <v>127</v>
      </c>
      <c r="C265" s="336" t="str">
        <f>VLOOKUP(B265,'HECVAT - Full'!A1:E312,2,FALSE)</f>
        <v>Have you had a significant breach in the last 5 years?</v>
      </c>
      <c r="D265" s="334" t="str">
        <f>VLOOKUP(B265,'HECVAT - Full'!A1:E312,4,FALSE)</f>
        <v/>
      </c>
      <c r="E265" s="337" t="b">
        <f t="shared" si="8"/>
        <v>1</v>
      </c>
      <c r="F265" s="335" t="s">
        <v>3122</v>
      </c>
      <c r="G265" s="335" t="s">
        <v>85</v>
      </c>
      <c r="H265" s="338">
        <v>1.0</v>
      </c>
      <c r="I265" s="336" t="str">
        <f>VLOOKUP(B265,'HECVAT - Full'!A1:E312,3,FALSE)</f>
        <v>No</v>
      </c>
      <c r="J265" s="181">
        <f t="shared" si="84"/>
        <v>1</v>
      </c>
      <c r="K265" s="181">
        <f t="shared" ref="K265:K266" si="85">IF(H265=1,25,"")</f>
        <v>25</v>
      </c>
      <c r="L265" s="181">
        <f t="shared" si="6"/>
        <v>25</v>
      </c>
      <c r="M265" s="198" t="str">
        <f>VLOOKUP($B265,'Standards Crosswalk'!$A1:$H321,3,FALSE)</f>
        <v/>
      </c>
      <c r="N265" s="198" t="str">
        <f>VLOOKUP($B265,'Standards Crosswalk'!$A1:$H321,4,FALSE)</f>
        <v/>
      </c>
      <c r="O265" s="198" t="str">
        <f>VLOOKUP($B265,'Standards Crosswalk'!$A1:$H321,5,FALSE)</f>
        <v/>
      </c>
      <c r="P265" s="198" t="str">
        <f>VLOOKUP($B265,'Standards Crosswalk'!$A1:$H321,6,FALSE)</f>
        <v/>
      </c>
      <c r="Q265" s="198" t="str">
        <f>VLOOKUP($B265,'Standards Crosswalk'!$A1:$H321,7,FALSE)</f>
        <v/>
      </c>
      <c r="R265" s="198" t="str">
        <f>VLOOKUP($B265,'Standards Crosswalk'!$A1:$H321,8,FALSE)</f>
        <v/>
      </c>
      <c r="S265" s="198" t="str">
        <f>VLOOKUP($B265,'Standards Crosswalk'!$A1:$I321,9,FALSE)</f>
        <v/>
      </c>
      <c r="T265" s="181"/>
      <c r="U265" s="181"/>
      <c r="V265" s="181"/>
      <c r="W265" s="181"/>
      <c r="X265" s="181"/>
      <c r="Y265" s="181"/>
      <c r="Z265" s="6"/>
    </row>
    <row r="266" ht="29.25" customHeight="1">
      <c r="A266" s="334">
        <f t="shared" si="7"/>
        <v>264</v>
      </c>
      <c r="B266" s="335" t="s">
        <v>129</v>
      </c>
      <c r="C266" s="336" t="str">
        <f>VLOOKUP(B266,'HECVAT - Full'!A1:E312,2,FALSE)</f>
        <v>Do you have a dedicated Information Security staff or office?</v>
      </c>
      <c r="D266" s="339" t="str">
        <f>VLOOKUP(B266,'HECVAT - Full'!A1:E312,4,FALSE)</f>
        <v>Our company is small so we don’t have dedicated staff. Once the company grows, we will have dedicated IS staff.</v>
      </c>
      <c r="E266" s="337" t="b">
        <f t="shared" si="8"/>
        <v>1</v>
      </c>
      <c r="F266" s="335" t="s">
        <v>3122</v>
      </c>
      <c r="G266" s="335" t="s">
        <v>90</v>
      </c>
      <c r="H266" s="338">
        <v>1.0</v>
      </c>
      <c r="I266" s="336" t="str">
        <f>VLOOKUP(B266,'HECVAT - Full'!A1:E312,3,FALSE)</f>
        <v>No</v>
      </c>
      <c r="J266" s="181">
        <f t="shared" si="84"/>
        <v>0</v>
      </c>
      <c r="K266" s="181">
        <f t="shared" si="85"/>
        <v>25</v>
      </c>
      <c r="L266" s="181">
        <f t="shared" si="6"/>
        <v>0</v>
      </c>
      <c r="M266" s="198" t="str">
        <f>VLOOKUP($B266,'Standards Crosswalk'!$A1:$H321,3,FALSE)</f>
        <v/>
      </c>
      <c r="N266" s="198" t="str">
        <f>VLOOKUP($B266,'Standards Crosswalk'!$A1:$H321,4,FALSE)</f>
        <v/>
      </c>
      <c r="O266" s="198" t="str">
        <f>VLOOKUP($B266,'Standards Crosswalk'!$A1:$H321,5,FALSE)</f>
        <v>15.2.1</v>
      </c>
      <c r="P266" s="198" t="str">
        <f>VLOOKUP($B266,'Standards Crosswalk'!$A1:$H321,6,FALSE)</f>
        <v/>
      </c>
      <c r="Q266" s="343" t="str">
        <f>VLOOKUP($B266,'Standards Crosswalk'!$A1:$H321,7,FALSE)</f>
        <v/>
      </c>
      <c r="R266" s="198" t="str">
        <f>VLOOKUP($B266,'Standards Crosswalk'!$A1:$H321,8,FALSE)</f>
        <v/>
      </c>
      <c r="S266" s="198" t="str">
        <f>VLOOKUP($B266,'Standards Crosswalk'!$A1:$I321,9,FALSE)</f>
        <v>12.8, 12.5</v>
      </c>
      <c r="T266" s="181"/>
      <c r="U266" s="181"/>
      <c r="V266" s="181"/>
      <c r="W266" s="181"/>
      <c r="X266" s="181"/>
      <c r="Y266" s="181"/>
      <c r="Z266" s="6"/>
    </row>
    <row r="267" ht="72.0" customHeight="1">
      <c r="A267" s="334">
        <f t="shared" si="7"/>
        <v>265</v>
      </c>
      <c r="B267" s="335" t="s">
        <v>132</v>
      </c>
      <c r="C267" s="336" t="str">
        <f>VLOOKUP(B267,'HECVAT - Full'!A1:E312,2,FALSE)</f>
        <v>Do you have a dedicated Software and System Development team(s)? (e.g. Customer Support, Implementation, Product Management, etc.)</v>
      </c>
      <c r="D267" s="339" t="str">
        <f>VLOOKUP(B267,'HECVAT - Full'!A1:E312,4,FALSE)</f>
        <v>Our company is small so we don’t have dedicated staff. Once the company grows, we will have more discrete rolls.</v>
      </c>
      <c r="E267" s="337" t="b">
        <f t="shared" si="8"/>
        <v>0</v>
      </c>
      <c r="F267" s="335" t="s">
        <v>3122</v>
      </c>
      <c r="G267" s="335" t="s">
        <v>90</v>
      </c>
      <c r="H267" s="338">
        <v>1.0</v>
      </c>
      <c r="I267" s="336" t="str">
        <f>VLOOKUP(B267,'HECVAT - Full'!A1:E312,3,FALSE)</f>
        <v>No</v>
      </c>
      <c r="J267" s="181">
        <f t="shared" si="84"/>
        <v>0</v>
      </c>
      <c r="K267" s="181">
        <f>IF(H267=1,15,"")</f>
        <v>15</v>
      </c>
      <c r="L267" s="181">
        <f t="shared" si="6"/>
        <v>0</v>
      </c>
      <c r="M267" s="198" t="str">
        <f>VLOOKUP($B267,'Standards Crosswalk'!$A1:$H321,3,FALSE)</f>
        <v/>
      </c>
      <c r="N267" s="198" t="str">
        <f>VLOOKUP($B267,'Standards Crosswalk'!$A1:$H321,4,FALSE)</f>
        <v/>
      </c>
      <c r="O267" s="198" t="str">
        <f>VLOOKUP($B267,'Standards Crosswalk'!$A1:$H321,5,FALSE)</f>
        <v>14.2.1</v>
      </c>
      <c r="P267" s="198" t="str">
        <f>VLOOKUP($B267,'Standards Crosswalk'!$A1:$H321,6,FALSE)</f>
        <v/>
      </c>
      <c r="Q267" s="343" t="str">
        <f>VLOOKUP($B267,'Standards Crosswalk'!$A1:$H321,7,FALSE)</f>
        <v/>
      </c>
      <c r="R267" s="198" t="str">
        <f>VLOOKUP($B267,'Standards Crosswalk'!$A1:$H321,8,FALSE)</f>
        <v>SA-3, SA-15, SC-2, PM-2, PM-10, SI-5,PM-3 </v>
      </c>
      <c r="S267" s="343">
        <f>VLOOKUP($B267,'Standards Crosswalk'!$A1:$I321,9,FALSE)</f>
        <v>12.8</v>
      </c>
      <c r="T267" s="181"/>
      <c r="U267" s="181"/>
      <c r="V267" s="181"/>
      <c r="W267" s="181"/>
      <c r="X267" s="181"/>
      <c r="Y267" s="181"/>
      <c r="Z267" s="6"/>
    </row>
    <row r="268" ht="57.0" customHeight="1">
      <c r="A268" s="334">
        <f t="shared" si="7"/>
        <v>266</v>
      </c>
      <c r="B268" s="367" t="s">
        <v>135</v>
      </c>
      <c r="C268" s="336" t="str">
        <f>VLOOKUP(B268,'HECVAT - Full'!A1:E312,2,FALSE)</f>
        <v>Use this area to share information about your environment that will assist those who are assessing your company data security program.</v>
      </c>
      <c r="D268" s="334" t="str">
        <f>VLOOKUP(B268,'HECVAT - Full'!A1:E312,4,FALSE)</f>
        <v/>
      </c>
      <c r="E268" s="368" t="b">
        <f t="shared" si="8"/>
        <v>1</v>
      </c>
      <c r="F268" s="367" t="s">
        <v>3122</v>
      </c>
      <c r="G268" s="369"/>
      <c r="H268" s="370">
        <v>1.0</v>
      </c>
      <c r="I268" s="336" t="str">
        <f>VLOOKUP(B268,'HECVAT - Full'!A1:E312,3,FALSE)</f>
        <v>We host an API service in the cloud. All services are hosted in Google Cloud services that have built-in threat detection. Each customer has a dedicated subdomain with independent data access roles. We also have several pre-deployment threat protection mechanisms in our GitLab code storage repositories.</v>
      </c>
      <c r="J268" s="181">
        <f>IF(VLOOKUP(B268,'Analyst Report'!$A$38:$G$88,7,FALSE)="Yes",1,0)</f>
        <v>0</v>
      </c>
      <c r="K268" s="181">
        <f>IF(H268=1,25,"")</f>
        <v>25</v>
      </c>
      <c r="L268" s="181">
        <f t="shared" si="6"/>
        <v>0</v>
      </c>
      <c r="M268" s="198" t="str">
        <f>VLOOKUP($B268,'Standards Crosswalk'!$A1:$H321,3,FALSE)</f>
        <v/>
      </c>
      <c r="N268" s="198" t="str">
        <f>VLOOKUP($B268,'Standards Crosswalk'!$A1:$H321,4,FALSE)</f>
        <v/>
      </c>
      <c r="O268" s="198" t="str">
        <f>VLOOKUP($B268,'Standards Crosswalk'!$A1:$H321,5,FALSE)</f>
        <v>15.2.1</v>
      </c>
      <c r="P268" s="198" t="str">
        <f>VLOOKUP($B268,'Standards Crosswalk'!$A1:$H321,6,FALSE)</f>
        <v/>
      </c>
      <c r="Q268" s="343" t="str">
        <f>VLOOKUP($B268,'Standards Crosswalk'!$A1:$H321,7,FALSE)</f>
        <v/>
      </c>
      <c r="R268" s="198" t="str">
        <f>VLOOKUP($B268,'Standards Crosswalk'!$A1:$H321,8,FALSE)</f>
        <v/>
      </c>
      <c r="S268" s="343">
        <f>VLOOKUP($B268,'Standards Crosswalk'!$A1:$I321,9,FALSE)</f>
        <v>12.8</v>
      </c>
      <c r="T268" s="181"/>
      <c r="U268" s="181"/>
      <c r="V268" s="181"/>
      <c r="W268" s="181"/>
      <c r="X268" s="181"/>
      <c r="Y268" s="181"/>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portrait"/>
  <headerFooter>
    <oddFooter>&amp;C000000&amp;P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